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72575\Desktop\かしわ荘外構入札公告\公告PDFファイル\"/>
    </mc:Choice>
  </mc:AlternateContent>
  <workbookProtection workbookPassword="EE7A" lockStructure="1"/>
  <bookViews>
    <workbookView xWindow="0" yWindow="0" windowWidth="23016" windowHeight="9072" tabRatio="763"/>
  </bookViews>
  <sheets>
    <sheet name="1.基本データ(このシートは削除しないこと！)" sheetId="5" r:id="rId1"/>
    <sheet name="2.様式第1号(特別簡易型)" sheetId="6" r:id="rId2"/>
    <sheet name="3.様式第11号-1(特別簡易型)" sheetId="2" r:id="rId3"/>
    <sheet name="リスト" sheetId="8" r:id="rId4"/>
    <sheet name="リスト2" sheetId="9" r:id="rId5"/>
  </sheets>
  <definedNames>
    <definedName name="_xlnm.Print_Area" localSheetId="0">'1.基本データ(このシートは削除しないこと！)'!$B$1:$F$53</definedName>
    <definedName name="_xlnm.Print_Area" localSheetId="1">'2.様式第1号(特別簡易型)'!$A$1:$D$40</definedName>
    <definedName name="_xlnm.Print_Area" localSheetId="2">'3.様式第11号-1(特別簡易型)'!$A$2:$S$54</definedName>
  </definedNames>
  <calcPr calcId="162913"/>
</workbook>
</file>

<file path=xl/calcChain.xml><?xml version="1.0" encoding="utf-8"?>
<calcChain xmlns="http://schemas.openxmlformats.org/spreadsheetml/2006/main">
  <c r="S2" i="2" l="1"/>
  <c r="D1" i="6"/>
  <c r="AS48" i="2" l="1"/>
  <c r="E32" i="2"/>
  <c r="W31" i="2"/>
  <c r="V31" i="2"/>
  <c r="AA31" i="2" s="1"/>
  <c r="V32" i="2"/>
  <c r="AA32" i="2" s="1"/>
  <c r="V30" i="2"/>
  <c r="AB31" i="2" s="1"/>
  <c r="V15" i="2"/>
  <c r="AT48" i="2" l="1"/>
  <c r="W32" i="2"/>
  <c r="X32" i="2" s="1"/>
  <c r="E5" i="2" l="1"/>
  <c r="W10" i="2" l="1"/>
  <c r="Y46" i="2"/>
  <c r="X46" i="2"/>
  <c r="V46" i="2"/>
  <c r="Z47" i="2"/>
  <c r="W11" i="2" l="1"/>
  <c r="AS54" i="2"/>
  <c r="AT54" i="2" l="1"/>
  <c r="X31" i="2"/>
  <c r="C11" i="6"/>
  <c r="X37" i="2" l="1"/>
  <c r="E34" i="2"/>
  <c r="C14" i="6" l="1"/>
  <c r="AB32" i="2" l="1"/>
  <c r="AQ34" i="2" s="1"/>
  <c r="F32" i="2" s="1"/>
  <c r="AA36" i="2"/>
  <c r="Z36" i="2" l="1"/>
  <c r="C6" i="6"/>
  <c r="X45" i="2" l="1"/>
  <c r="W38" i="2"/>
  <c r="H17" i="5"/>
  <c r="AE36" i="2"/>
  <c r="AB39" i="2"/>
  <c r="AB38" i="2"/>
  <c r="AB37" i="2"/>
  <c r="AB36" i="2"/>
  <c r="AC36" i="2" s="1"/>
  <c r="AA39" i="2"/>
  <c r="AA38" i="2"/>
  <c r="AA37" i="2"/>
  <c r="D20" i="5" l="1"/>
  <c r="W36" i="2"/>
  <c r="W35" i="2"/>
  <c r="AI10" i="2"/>
  <c r="AK10" i="2" s="1"/>
  <c r="AI11" i="2"/>
  <c r="H10" i="5" l="1"/>
  <c r="C17" i="6" s="1"/>
  <c r="H7" i="5"/>
  <c r="H8" i="5"/>
  <c r="H9" i="5"/>
  <c r="C16" i="6" s="1"/>
  <c r="H14" i="5"/>
  <c r="H6" i="5"/>
  <c r="H11" i="5"/>
  <c r="H5" i="5"/>
  <c r="C10" i="6" l="1"/>
  <c r="B11" i="6"/>
  <c r="C13" i="6"/>
  <c r="E30" i="2"/>
  <c r="Y45" i="2"/>
  <c r="AF53" i="2" l="1"/>
  <c r="AF54" i="2" s="1"/>
  <c r="AF52" i="2"/>
  <c r="AF51" i="2"/>
  <c r="AF50" i="2"/>
  <c r="AF49" i="2"/>
  <c r="AF48" i="2"/>
  <c r="AF47" i="2"/>
  <c r="AF46" i="2"/>
  <c r="AF45" i="2"/>
  <c r="AF44" i="2"/>
  <c r="V7" i="2" l="1"/>
  <c r="AC11" i="2" l="1"/>
  <c r="AC9" i="2"/>
  <c r="AC8" i="2"/>
  <c r="AC7" i="2"/>
  <c r="V44" i="2" l="1"/>
  <c r="AQ44" i="2" s="1"/>
  <c r="X44" i="2"/>
  <c r="Y44" i="2"/>
  <c r="Z44" i="2"/>
  <c r="AB44" i="2"/>
  <c r="AE44" i="2" s="1"/>
  <c r="V45" i="2"/>
  <c r="Z45" i="2"/>
  <c r="AB45" i="2"/>
  <c r="AE45" i="2" s="1"/>
  <c r="Z46" i="2"/>
  <c r="AB46" i="2"/>
  <c r="AE46" i="2" s="1"/>
  <c r="V47" i="2"/>
  <c r="X47" i="2"/>
  <c r="Y47" i="2"/>
  <c r="AB47" i="2"/>
  <c r="AE47" i="2" s="1"/>
  <c r="V48" i="2"/>
  <c r="X48" i="2"/>
  <c r="Y48" i="2"/>
  <c r="Z48" i="2"/>
  <c r="AB48" i="2"/>
  <c r="AE48" i="2" s="1"/>
  <c r="V49" i="2"/>
  <c r="X49" i="2"/>
  <c r="Y49" i="2"/>
  <c r="Z49" i="2"/>
  <c r="AB49" i="2"/>
  <c r="AE49" i="2" s="1"/>
  <c r="V50" i="2"/>
  <c r="X50" i="2"/>
  <c r="Y50" i="2"/>
  <c r="Z50" i="2"/>
  <c r="AB50" i="2"/>
  <c r="AE50" i="2" s="1"/>
  <c r="V51" i="2"/>
  <c r="X51" i="2"/>
  <c r="Y51" i="2"/>
  <c r="Z51" i="2"/>
  <c r="AB51" i="2"/>
  <c r="AE51" i="2" s="1"/>
  <c r="V52" i="2"/>
  <c r="X52" i="2"/>
  <c r="Y52" i="2"/>
  <c r="Z52" i="2"/>
  <c r="AB52" i="2"/>
  <c r="AE52" i="2" s="1"/>
  <c r="V53" i="2"/>
  <c r="X53" i="2"/>
  <c r="X54" i="2" s="1"/>
  <c r="Y53" i="2"/>
  <c r="Y54" i="2" s="1"/>
  <c r="Z53" i="2"/>
  <c r="Z54" i="2" s="1"/>
  <c r="AB53" i="2"/>
  <c r="AE53" i="2" s="1"/>
  <c r="AE54" i="2" s="1"/>
  <c r="V54" i="2"/>
  <c r="AF36" i="2"/>
  <c r="AG36" i="2" s="1"/>
  <c r="AF37" i="2"/>
  <c r="X38" i="2"/>
  <c r="AF38" i="2"/>
  <c r="W39" i="2"/>
  <c r="X39" i="2"/>
  <c r="AF39" i="2"/>
  <c r="W46" i="2" l="1"/>
  <c r="AB54" i="2"/>
  <c r="W49" i="2" l="1"/>
  <c r="W51" i="2" s="1"/>
  <c r="W53" i="2" s="1"/>
  <c r="V11" i="2" l="1"/>
  <c r="V8" i="2" l="1"/>
  <c r="V19" i="2" l="1"/>
  <c r="V20" i="2"/>
  <c r="V22" i="2"/>
  <c r="V21" i="2"/>
  <c r="V18" i="2"/>
  <c r="V17" i="2"/>
  <c r="V16" i="2"/>
  <c r="V13" i="2"/>
  <c r="V14" i="2"/>
  <c r="AP14" i="2" s="1"/>
  <c r="F14" i="2" s="1"/>
  <c r="V9" i="2"/>
  <c r="V10" i="2"/>
  <c r="E33" i="2"/>
  <c r="E14" i="2"/>
  <c r="Y10" i="2" l="1"/>
  <c r="E13" i="2" l="1"/>
  <c r="AP13" i="2"/>
  <c r="F13" i="2" s="1"/>
  <c r="W16" i="2" l="1"/>
  <c r="W7" i="2"/>
  <c r="H16" i="5" l="1"/>
  <c r="V33" i="2" l="1"/>
  <c r="AF31" i="2" s="1"/>
  <c r="X33" i="2"/>
  <c r="AF33" i="2" s="1"/>
  <c r="AG33" i="2" s="1"/>
  <c r="W33" i="2"/>
  <c r="AF32" i="2" s="1"/>
  <c r="AG32" i="2" s="1"/>
  <c r="E21" i="5"/>
  <c r="E20" i="5"/>
  <c r="AA45" i="2" s="1"/>
  <c r="D21" i="5"/>
  <c r="AG31" i="2" l="1"/>
  <c r="AC44" i="2"/>
  <c r="AA50" i="2"/>
  <c r="AA44" i="2"/>
  <c r="AA53" i="2"/>
  <c r="AA54" i="2" s="1"/>
  <c r="AA52" i="2"/>
  <c r="AA46" i="2"/>
  <c r="AA47" i="2"/>
  <c r="AA48" i="2"/>
  <c r="AA49" i="2"/>
  <c r="AA51" i="2"/>
  <c r="AE37" i="2"/>
  <c r="AG37" i="2" s="1"/>
  <c r="Z37" i="2"/>
  <c r="AC37" i="2" s="1"/>
  <c r="AC51" i="2"/>
  <c r="AC52" i="2"/>
  <c r="AC45" i="2"/>
  <c r="AD45" i="2" s="1"/>
  <c r="AC53" i="2"/>
  <c r="AC54" i="2" s="1"/>
  <c r="AC46" i="2"/>
  <c r="AC47" i="2"/>
  <c r="AC48" i="2"/>
  <c r="AC49" i="2"/>
  <c r="AC50" i="2"/>
  <c r="AE38" i="2"/>
  <c r="AG38" i="2" s="1"/>
  <c r="Z38" i="2"/>
  <c r="AC38" i="2" s="1"/>
  <c r="AE39" i="2"/>
  <c r="AG39" i="2" s="1"/>
  <c r="Z39" i="2"/>
  <c r="AC39" i="2" s="1"/>
  <c r="Y33" i="2"/>
  <c r="AQ35" i="2" l="1"/>
  <c r="F33" i="2" s="1"/>
  <c r="AD48" i="2"/>
  <c r="AD47" i="2"/>
  <c r="AL47" i="2" s="1"/>
  <c r="AG35" i="2"/>
  <c r="AC35" i="2"/>
  <c r="W37" i="2" s="1"/>
  <c r="AM48" i="2"/>
  <c r="AL48" i="2"/>
  <c r="AL45" i="2"/>
  <c r="AK45" i="2"/>
  <c r="AM45" i="2"/>
  <c r="AD46" i="2"/>
  <c r="AK46" i="2" s="1"/>
  <c r="AD44" i="2"/>
  <c r="AP50" i="2"/>
  <c r="AP44" i="2"/>
  <c r="AP47" i="2"/>
  <c r="AP53" i="2"/>
  <c r="AP52" i="2"/>
  <c r="AP49" i="2"/>
  <c r="AP54" i="2"/>
  <c r="AP46" i="2"/>
  <c r="AP45" i="2"/>
  <c r="AP51" i="2"/>
  <c r="AP48" i="2"/>
  <c r="AD49" i="2"/>
  <c r="AD50" i="2"/>
  <c r="AD51" i="2"/>
  <c r="AD52" i="2"/>
  <c r="AD53" i="2"/>
  <c r="AM47" i="2" l="1"/>
  <c r="X40" i="2"/>
  <c r="W40" i="2"/>
  <c r="AT37" i="2" s="1"/>
  <c r="AP41" i="2"/>
  <c r="AP39" i="2"/>
  <c r="AP40" i="2"/>
  <c r="AS35" i="2"/>
  <c r="AO36" i="2"/>
  <c r="AO40" i="2"/>
  <c r="AO39" i="2"/>
  <c r="AO41" i="2"/>
  <c r="AL51" i="2"/>
  <c r="AM51" i="2"/>
  <c r="AK49" i="2"/>
  <c r="AL49" i="2"/>
  <c r="AM49" i="2"/>
  <c r="AL46" i="2"/>
  <c r="AN46" i="2" s="1"/>
  <c r="AM50" i="2"/>
  <c r="AL50" i="2"/>
  <c r="AL52" i="2"/>
  <c r="AM52" i="2"/>
  <c r="AM46" i="2"/>
  <c r="AM44" i="2"/>
  <c r="AK44" i="2"/>
  <c r="AL44" i="2"/>
  <c r="AH35" i="2"/>
  <c r="X41" i="2" s="1"/>
  <c r="AM53" i="2"/>
  <c r="AL53" i="2"/>
  <c r="AN45" i="2"/>
  <c r="AK51" i="2"/>
  <c r="AK50" i="2"/>
  <c r="AK52" i="2"/>
  <c r="AK48" i="2"/>
  <c r="AD54" i="2"/>
  <c r="AK53" i="2"/>
  <c r="AK54" i="2"/>
  <c r="AK47" i="2"/>
  <c r="E7" i="2"/>
  <c r="E10" i="2"/>
  <c r="E16" i="2"/>
  <c r="E20" i="2"/>
  <c r="E45" i="2"/>
  <c r="E44" i="2"/>
  <c r="E49" i="2"/>
  <c r="E51" i="2"/>
  <c r="AN49" i="2" l="1"/>
  <c r="AO44" i="2"/>
  <c r="AT38" i="2"/>
  <c r="AT36" i="2"/>
  <c r="AT35" i="2"/>
  <c r="AQ41" i="2"/>
  <c r="F34" i="2" s="1"/>
  <c r="AL54" i="2"/>
  <c r="AN54" i="2" s="1"/>
  <c r="AM54" i="2"/>
  <c r="AO54" i="2" s="1"/>
  <c r="AN44" i="2"/>
  <c r="AS38" i="2"/>
  <c r="W41" i="2"/>
  <c r="AS37" i="2"/>
  <c r="AS36" i="2"/>
  <c r="K41" i="2"/>
  <c r="AN50" i="2"/>
  <c r="AO51" i="2"/>
  <c r="AN51" i="2"/>
  <c r="AO48" i="2"/>
  <c r="AN48" i="2"/>
  <c r="AO47" i="2"/>
  <c r="AN47" i="2"/>
  <c r="AN52" i="2"/>
  <c r="AO53" i="2"/>
  <c r="AN53" i="2"/>
  <c r="AO46" i="2"/>
  <c r="AO45" i="2"/>
  <c r="AQ45" i="2" s="1"/>
  <c r="AO52" i="2"/>
  <c r="AO50" i="2"/>
  <c r="AO49" i="2"/>
  <c r="AQ53" i="2" l="1"/>
  <c r="AQ46" i="2"/>
  <c r="F45" i="2"/>
  <c r="AT39" i="2"/>
  <c r="AS39" i="2"/>
  <c r="AS43" i="2" s="1"/>
  <c r="F44" i="2" s="1"/>
  <c r="AQ49" i="2"/>
  <c r="AQ51" i="2"/>
  <c r="AK11" i="2"/>
  <c r="AE11" i="2"/>
  <c r="AP11" i="2" s="1"/>
  <c r="F10" i="2" s="1"/>
  <c r="AE9" i="2"/>
  <c r="AE8" i="2"/>
  <c r="AE7" i="2"/>
  <c r="W20" i="2"/>
  <c r="Y20" i="2" s="1"/>
  <c r="AR46" i="2" l="1"/>
  <c r="AS47" i="2" s="1"/>
  <c r="F46" i="2" s="1"/>
  <c r="AE20" i="2"/>
  <c r="AP20" i="2"/>
  <c r="F20" i="2" s="1"/>
  <c r="AR53" i="2"/>
  <c r="AS53" i="2" s="1"/>
  <c r="F53" i="2" s="1"/>
  <c r="AT40" i="2"/>
  <c r="AT41" i="2" s="1"/>
  <c r="Y16" i="2"/>
  <c r="Y7" i="2"/>
  <c r="B42" i="2" l="1"/>
  <c r="AP7" i="2"/>
  <c r="F7" i="2" s="1"/>
  <c r="AE16" i="2"/>
  <c r="AP16" i="2" s="1"/>
  <c r="F16" i="2" s="1"/>
  <c r="H15" i="5" l="1"/>
  <c r="E4" i="2" s="1"/>
  <c r="H13" i="5"/>
  <c r="A19" i="6" l="1"/>
  <c r="E29" i="2"/>
  <c r="F49" i="2" l="1"/>
  <c r="F51" i="2" l="1"/>
  <c r="K40" i="2"/>
  <c r="S1" i="2" l="1"/>
  <c r="D23" i="5" l="1"/>
</calcChain>
</file>

<file path=xl/sharedStrings.xml><?xml version="1.0" encoding="utf-8"?>
<sst xmlns="http://schemas.openxmlformats.org/spreadsheetml/2006/main" count="706" uniqueCount="397">
  <si>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</si>
  <si>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</si>
  <si>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</si>
  <si>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6"/>
  </si>
  <si>
    <t>県内</t>
    <rPh sb="0" eb="2">
      <t>ケンナイ</t>
    </rPh>
    <phoneticPr fontId="36"/>
  </si>
  <si>
    <t>技 術 提 案 書</t>
  </si>
  <si>
    <t>住所</t>
  </si>
  <si>
    <t>商号又は名称</t>
  </si>
  <si>
    <t>電話番号</t>
  </si>
  <si>
    <t>記</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</si>
  <si>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</si>
  <si>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</si>
  <si>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</si>
  <si>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</si>
  <si>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</si>
  <si>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t>
    <phoneticPr fontId="36"/>
  </si>
  <si>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</si>
  <si>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</si>
  <si>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</si>
  <si>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</si>
  <si>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</si>
  <si>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</si>
  <si>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</si>
  <si>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</si>
  <si>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5年以内</t>
    <rPh sb="1" eb="2">
      <t>ネン</t>
    </rPh>
    <rPh sb="2" eb="4">
      <t>イナイ</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</si>
  <si>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</si>
  <si>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</si>
  <si>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</si>
  <si>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</si>
  <si>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</si>
  <si>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5～10年以内</t>
    <rPh sb="4" eb="5">
      <t>ネン</t>
    </rPh>
    <rPh sb="5" eb="7">
      <t>イナイ</t>
    </rPh>
    <phoneticPr fontId="36"/>
  </si>
  <si>
    <t>猪苗代土木</t>
    <rPh sb="0" eb="3">
      <t>イナワシロ</t>
    </rPh>
    <rPh sb="3" eb="5">
      <t>ドボク</t>
    </rPh>
    <phoneticPr fontId="36"/>
  </si>
  <si>
    <t>南会津建設</t>
    <rPh sb="0" eb="3">
      <t>ミナミアイヅ</t>
    </rPh>
    <rPh sb="3" eb="5">
      <t>ケンセツ</t>
    </rPh>
    <phoneticPr fontId="36"/>
  </si>
  <si>
    <t>10～15年以内</t>
    <rPh sb="5" eb="6">
      <t>ネン</t>
    </rPh>
    <rPh sb="6" eb="8">
      <t>イナイ</t>
    </rPh>
    <phoneticPr fontId="36"/>
  </si>
  <si>
    <t>西会津町</t>
    <rPh sb="0" eb="4">
      <t>ニシアイヅマチ</t>
    </rPh>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</si>
  <si>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</si>
  <si>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</si>
  <si>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</si>
  <si>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</si>
  <si>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</si>
  <si>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</si>
  <si>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</si>
  <si>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</si>
  <si>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</si>
  <si>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</si>
  <si>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</si>
  <si>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</si>
  <si>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</si>
  <si>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</si>
  <si>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</si>
  <si>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</si>
  <si>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</si>
  <si>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</si>
  <si>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</si>
  <si>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</si>
  <si>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</si>
  <si>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</si>
  <si>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</si>
  <si>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</si>
  <si>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</si>
  <si>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</si>
  <si>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</si>
  <si>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</si>
  <si>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</si>
  <si>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</si>
  <si>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</si>
  <si>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</si>
  <si>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</si>
  <si>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</si>
  <si>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</si>
  <si>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</si>
  <si>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</si>
  <si>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</si>
  <si>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</si>
  <si>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</si>
  <si>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</si>
  <si>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</si>
  <si>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</si>
  <si>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</si>
  <si>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</si>
  <si>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</si>
  <si>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</si>
  <si>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</si>
  <si>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</si>
  <si>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</si>
  <si>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</si>
  <si>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</si>
  <si>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</si>
  <si>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</si>
  <si>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</si>
  <si>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</si>
  <si>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</si>
  <si>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</si>
  <si>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</si>
  <si>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</si>
  <si>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</si>
  <si>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</si>
  <si>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</si>
  <si>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</si>
  <si>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</si>
  <si>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</si>
  <si>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</si>
  <si>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</si>
  <si>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</si>
  <si>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</si>
  <si>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</si>
  <si>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</si>
  <si>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</si>
  <si>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</si>
  <si>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</si>
  <si>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</si>
  <si>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</si>
  <si>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</si>
  <si>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</si>
  <si>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</si>
  <si>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</si>
  <si>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</si>
  <si>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</si>
  <si>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</si>
  <si>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</si>
  <si>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</si>
  <si>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</si>
  <si>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</si>
  <si>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</si>
  <si>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</si>
  <si>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</si>
  <si>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</si>
  <si>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</si>
  <si>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</si>
  <si>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</si>
  <si>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</si>
  <si>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</si>
  <si>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</si>
  <si>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</si>
  <si>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</si>
  <si>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</si>
  <si>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</si>
  <si>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</si>
  <si>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</si>
  <si>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80点以上</t>
    <rPh sb="2" eb="3">
      <t>テン</t>
    </rPh>
    <rPh sb="3" eb="5">
      <t>イジョウ</t>
    </rPh>
    <phoneticPr fontId="36"/>
  </si>
  <si>
    <t>75点以上80点未満</t>
    <rPh sb="2" eb="3">
      <t>テン</t>
    </rPh>
    <rPh sb="3" eb="5">
      <t>イジョウ</t>
    </rPh>
    <rPh sb="7" eb="8">
      <t>テン</t>
    </rPh>
    <rPh sb="8" eb="10">
      <t>ミマン</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</si>
  <si>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</si>
  <si>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</si>
  <si>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発注者</t>
    <rPh sb="0" eb="3">
      <t>ハッチュウシャ</t>
    </rPh>
    <phoneticPr fontId="36"/>
  </si>
  <si>
    <t>災害対応実績</t>
    <rPh sb="0" eb="2">
      <t>サイガイ</t>
    </rPh>
    <rPh sb="2" eb="4">
      <t>タイオウ</t>
    </rPh>
    <rPh sb="4" eb="6">
      <t>ジッセキ</t>
    </rPh>
    <phoneticPr fontId="18"/>
  </si>
  <si>
    <t>工事番号・工事名：</t>
    <phoneticPr fontId="36"/>
  </si>
  <si>
    <t>会社名：</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</si>
  <si>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</si>
  <si>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</si>
  <si>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</si>
  <si>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</si>
  <si>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</si>
  <si>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</si>
  <si>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</si>
  <si>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</si>
  <si>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</si>
  <si>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</si>
  <si>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</si>
  <si>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</si>
  <si>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</si>
  <si>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</si>
  <si>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</si>
  <si>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</si>
  <si>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</si>
  <si>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</si>
  <si>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</si>
  <si>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</si>
  <si>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</si>
  <si>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</si>
  <si>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</si>
  <si>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</si>
  <si>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</si>
  <si>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</si>
  <si>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</si>
  <si>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t>
  </si>
  <si>
    <t>配点
(満点)</t>
    <rPh sb="0" eb="2">
      <t>ハイテン</t>
    </rPh>
    <rPh sb="4" eb="6">
      <t>マンテン</t>
    </rPh>
    <phoneticPr fontId="18"/>
  </si>
  <si>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</si>
  <si>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</si>
  <si>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</si>
  <si>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</si>
  <si>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</si>
  <si>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</si>
  <si>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</si>
  <si>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</si>
  <si>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</si>
  <si>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</si>
  <si>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</si>
  <si>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</si>
  <si>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</si>
  <si>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</si>
  <si>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</si>
  <si>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</si>
  <si>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</si>
  <si>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</si>
  <si>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</si>
  <si>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</si>
  <si>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企業の地域社会に対する貢献度</t>
    <phoneticPr fontId="36"/>
  </si>
  <si>
    <t>地域要件【選択】</t>
    <rPh sb="0" eb="2">
      <t>チイキ</t>
    </rPh>
    <rPh sb="2" eb="4">
      <t>ヨウケン</t>
    </rPh>
    <rPh sb="5" eb="7">
      <t>センタク</t>
    </rPh>
    <phoneticPr fontId="36"/>
  </si>
  <si>
    <t>評価対象</t>
    <rPh sb="0" eb="2">
      <t>ヒョウカ</t>
    </rPh>
    <rPh sb="2" eb="4">
      <t>タイショウ</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</si>
  <si>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</si>
  <si>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</si>
  <si>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</si>
  <si>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過去3年以内に1件以上あり</t>
    <rPh sb="0" eb="2">
      <t>カコ</t>
    </rPh>
    <rPh sb="3" eb="4">
      <t>ネン</t>
    </rPh>
    <rPh sb="4" eb="6">
      <t>イナイ</t>
    </rPh>
    <rPh sb="8" eb="9">
      <t>ケン</t>
    </rPh>
    <rPh sb="9" eb="11">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</si>
  <si>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</si>
  <si>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</si>
  <si>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t>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</si>
  <si>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</si>
  <si>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1：一般土木、舗装工事、10：左記以外の工事</t>
    <rPh sb="2" eb="4">
      <t>イッパン</t>
    </rPh>
    <rPh sb="4" eb="6">
      <t>ドボク</t>
    </rPh>
    <rPh sb="7" eb="9">
      <t>ホソウ</t>
    </rPh>
    <rPh sb="9" eb="11">
      <t>コウジ</t>
    </rPh>
    <rPh sb="15" eb="17">
      <t>サキ</t>
    </rPh>
    <rPh sb="17" eb="19">
      <t>イガイ</t>
    </rPh>
    <rPh sb="20" eb="22">
      <t>コウジ</t>
    </rPh>
    <phoneticPr fontId="36"/>
  </si>
  <si>
    <t>入札参加者の判定</t>
    <rPh sb="0" eb="2">
      <t>ニュウサツ</t>
    </rPh>
    <rPh sb="2" eb="5">
      <t>サンカシャ</t>
    </rPh>
    <rPh sb="6" eb="8">
      <t>ハンテイ</t>
    </rPh>
    <phoneticPr fontId="36"/>
  </si>
  <si>
    <t>累計</t>
    <rPh sb="0" eb="2">
      <t>ルイケイ</t>
    </rPh>
    <phoneticPr fontId="36"/>
  </si>
  <si>
    <t>4:全国で
県内業者</t>
    <rPh sb="2" eb="4">
      <t>ゼンコク</t>
    </rPh>
    <rPh sb="6" eb="8">
      <t>ケンナイ</t>
    </rPh>
    <rPh sb="8" eb="10">
      <t>ギョウシャ</t>
    </rPh>
    <phoneticPr fontId="36"/>
  </si>
  <si>
    <t>配点
（同一建設or県内）</t>
    <rPh sb="0" eb="2">
      <t>ハイテン</t>
    </rPh>
    <rPh sb="4" eb="6">
      <t>ドウイツ</t>
    </rPh>
    <rPh sb="6" eb="8">
      <t>ケンセツ</t>
    </rPh>
    <rPh sb="10" eb="12">
      <t>ケンナイ</t>
    </rPh>
    <phoneticPr fontId="36"/>
  </si>
  <si>
    <t>1：該当あり</t>
    <rPh sb="2" eb="4">
      <t>ガイトウ</t>
    </rPh>
    <phoneticPr fontId="36"/>
  </si>
  <si>
    <t>3件</t>
    <rPh sb="1" eb="2">
      <t>ケン</t>
    </rPh>
    <phoneticPr fontId="36"/>
  </si>
  <si>
    <t>2件</t>
    <rPh sb="1" eb="2">
      <t>ケン</t>
    </rPh>
    <phoneticPr fontId="36"/>
  </si>
  <si>
    <t>1件</t>
    <rPh sb="1" eb="2">
      <t>ケン</t>
    </rPh>
    <phoneticPr fontId="36"/>
  </si>
  <si>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6"/>
  </si>
  <si>
    <t>・所在建設事務所
　【自動表示】</t>
    <rPh sb="1" eb="3">
      <t>ショザイ</t>
    </rPh>
    <rPh sb="3" eb="5">
      <t>ケンセツ</t>
    </rPh>
    <rPh sb="5" eb="8">
      <t>ジムショ</t>
    </rPh>
    <rPh sb="11" eb="13">
      <t>ジドウ</t>
    </rPh>
    <rPh sb="13" eb="15">
      <t>ヒョウジ</t>
    </rPh>
    <phoneticPr fontId="36"/>
  </si>
  <si>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</si>
  <si>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4：OK</t>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</si>
  <si>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</si>
  <si>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・判定結果【自動表示】</t>
    <rPh sb="1" eb="3">
      <t>ハンテイ</t>
    </rPh>
    <rPh sb="3" eb="5">
      <t>ケッカ</t>
    </rPh>
    <rPh sb="6" eb="8">
      <t>ジドウ</t>
    </rPh>
    <rPh sb="8" eb="10">
      <t>ヒョウジ</t>
    </rPh>
    <phoneticPr fontId="36"/>
  </si>
  <si>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6"/>
  </si>
  <si>
    <t>参加者</t>
    <rPh sb="0" eb="3">
      <t>サンカシャ</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</si>
  <si>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</si>
  <si>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</si>
  <si>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活動場所</t>
    <rPh sb="0" eb="2">
      <t>カツドウ</t>
    </rPh>
    <rPh sb="2" eb="4">
      <t>バショ</t>
    </rPh>
    <phoneticPr fontId="36"/>
  </si>
  <si>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</si>
  <si>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6"/>
  </si>
  <si>
    <t>1：準本店</t>
    <rPh sb="2" eb="3">
      <t>ジュン</t>
    </rPh>
    <rPh sb="3" eb="5">
      <t>ホンテン</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</si>
  <si>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</si>
  <si>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</si>
  <si>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</si>
  <si>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6"/>
  </si>
  <si>
    <t>入札参加者</t>
    <rPh sb="0" eb="2">
      <t>ニュウサツ</t>
    </rPh>
    <rPh sb="2" eb="4">
      <t>サンカ</t>
    </rPh>
    <rPh sb="4" eb="5">
      <t>シャ</t>
    </rPh>
    <phoneticPr fontId="36"/>
  </si>
  <si>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</si>
  <si>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t>雇用の維持
・確保</t>
    <phoneticPr fontId="18"/>
  </si>
  <si>
    <t>左記実績の有無を選択↓</t>
    <rPh sb="0" eb="2">
      <t>サキ</t>
    </rPh>
    <rPh sb="2" eb="4">
      <t>ジッセキ</t>
    </rPh>
    <rPh sb="5" eb="7">
      <t>ウム</t>
    </rPh>
    <rPh sb="8" eb="10">
      <t>センタク</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</si>
  <si>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</si>
  <si>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</si>
  <si>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</si>
  <si>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自動表示。（入力不要）※</t>
    <rPh sb="0" eb="2">
      <t>ジドウ</t>
    </rPh>
    <rPh sb="2" eb="4">
      <t>ヒョウジ</t>
    </rPh>
    <rPh sb="6" eb="8">
      <t>ニュウリョク</t>
    </rPh>
    <rPh sb="8" eb="10">
      <t>フヨウ</t>
    </rPh>
    <phoneticPr fontId="36"/>
  </si>
  <si>
    <t>同一発注種別【選択】</t>
    <rPh sb="0" eb="2">
      <t>ドウイツ</t>
    </rPh>
    <rPh sb="2" eb="4">
      <t>ハッチュウ</t>
    </rPh>
    <rPh sb="4" eb="6">
      <t>シュベツ</t>
    </rPh>
    <rPh sb="7" eb="9">
      <t>センタク</t>
    </rPh>
    <phoneticPr fontId="36"/>
  </si>
  <si>
    <t>工事箇所の所在する市町村
【選択】</t>
    <rPh sb="0" eb="2">
      <t>コウジ</t>
    </rPh>
    <rPh sb="2" eb="4">
      <t>カショ</t>
    </rPh>
    <rPh sb="5" eb="7">
      <t>ショザイ</t>
    </rPh>
    <rPh sb="9" eb="12">
      <t>シチョウソン</t>
    </rPh>
    <rPh sb="14" eb="16">
      <t>センタク</t>
    </rPh>
    <phoneticPr fontId="36"/>
  </si>
  <si>
    <t>4：OK</t>
    <phoneticPr fontId="36"/>
  </si>
  <si>
    <t>（特別簡易型・復旧型・復興型）</t>
    <rPh sb="1" eb="3">
      <t>トクベツ</t>
    </rPh>
    <rPh sb="3" eb="5">
      <t>カンイ</t>
    </rPh>
    <rPh sb="5" eb="6">
      <t>ガタ</t>
    </rPh>
    <rPh sb="7" eb="9">
      <t>フッキュウ</t>
    </rPh>
    <rPh sb="9" eb="10">
      <t>ガタ</t>
    </rPh>
    <rPh sb="11" eb="13">
      <t>フッコウ</t>
    </rPh>
    <rPh sb="13" eb="14">
      <t>ガタ</t>
    </rPh>
    <phoneticPr fontId="36"/>
  </si>
  <si>
    <t>5：OK</t>
    <phoneticPr fontId="36"/>
  </si>
  <si>
    <t>（特別簡易型・復旧型・復興型）</t>
    <rPh sb="1" eb="3">
      <t>トクベツ</t>
    </rPh>
    <rPh sb="3" eb="6">
      <t>カンイガタ</t>
    </rPh>
    <rPh sb="7" eb="9">
      <t>フッキュウ</t>
    </rPh>
    <rPh sb="9" eb="10">
      <t>ガタ</t>
    </rPh>
    <rPh sb="11" eb="13">
      <t>フッコウ</t>
    </rPh>
    <rPh sb="13" eb="14">
      <t>ガタ</t>
    </rPh>
    <phoneticPr fontId="36"/>
  </si>
  <si>
    <t xml:space="preserve">第○○-○○○○○-○○○○号 </t>
    <rPh sb="0" eb="1">
      <t>ダイ</t>
    </rPh>
    <rPh sb="14" eb="15">
      <t>ゴウ</t>
    </rPh>
    <phoneticPr fontId="36"/>
  </si>
  <si>
    <r>
      <rPr>
        <sz val="12"/>
        <rFont val="ＭＳ Ｐゴシック"/>
        <family val="3"/>
        <charset val="128"/>
        <scheme val="minor"/>
      </rPr>
      <t>様式第１号</t>
    </r>
    <r>
      <rPr>
        <sz val="12"/>
        <rFont val="ＭＳ 明朝"/>
        <family val="1"/>
        <charset val="128"/>
      </rPr>
      <t>（第７条関係）</t>
    </r>
    <phoneticPr fontId="36"/>
  </si>
  <si>
    <r>
      <t>①　企業の技術力及び貢献度（実績・経験等）</t>
    </r>
    <r>
      <rPr>
        <sz val="10"/>
        <rFont val="ＭＳ 明朝"/>
        <family val="1"/>
        <charset val="128"/>
      </rPr>
      <t>（地域密着型）</t>
    </r>
    <phoneticPr fontId="36"/>
  </si>
  <si>
    <t>■　特別簡易型（復旧型・復興型）</t>
    <phoneticPr fontId="36"/>
  </si>
  <si>
    <t>□　地域密着型</t>
    <phoneticPr fontId="36"/>
  </si>
  <si>
    <t>□　簡易型</t>
    <phoneticPr fontId="36"/>
  </si>
  <si>
    <t>□　標準型</t>
    <phoneticPr fontId="36"/>
  </si>
  <si>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</si>
  <si>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</si>
  <si>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6"/>
  </si>
  <si>
    <t>百万円</t>
    <rPh sb="0" eb="1">
      <t>ヒャク</t>
    </rPh>
    <rPh sb="1" eb="3">
      <t>マンエン</t>
    </rPh>
    <phoneticPr fontId="35"/>
  </si>
  <si>
    <t>第</t>
    <rPh sb="0" eb="1">
      <t>ダイ</t>
    </rPh>
    <phoneticPr fontId="36"/>
  </si>
  <si>
    <t>－</t>
    <phoneticPr fontId="36"/>
  </si>
  <si>
    <t>－</t>
    <phoneticPr fontId="36"/>
  </si>
  <si>
    <t>号</t>
    <rPh sb="0" eb="1">
      <t>ゴウ</t>
    </rPh>
    <phoneticPr fontId="36"/>
  </si>
  <si>
    <t>～</t>
    <phoneticPr fontId="36"/>
  </si>
  <si>
    <t>－</t>
    <phoneticPr fontId="36"/>
  </si>
  <si>
    <t>～</t>
    <phoneticPr fontId="36"/>
  </si>
  <si>
    <t>～</t>
    <phoneticPr fontId="36"/>
  </si>
  <si>
    <t>工事概要</t>
    <phoneticPr fontId="36"/>
  </si>
  <si>
    <t>（同種･類似工事と判断可能な工種、数量等）</t>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</si>
  <si>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</si>
  <si>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r>
      <t>工事番号　</t>
    </r>
    <r>
      <rPr>
        <sz val="10"/>
        <color rgb="FF000000"/>
        <rFont val="ＭＳ 明朝"/>
        <family val="1"/>
        <charset val="128"/>
      </rPr>
      <t>（半角数字）</t>
    </r>
    <rPh sb="6" eb="8">
      <t>ハンカク</t>
    </rPh>
    <rPh sb="8" eb="10">
      <t>スウジ</t>
    </rPh>
    <phoneticPr fontId="36"/>
  </si>
  <si>
    <t>若手・女性技術者の配置</t>
    <rPh sb="0" eb="2">
      <t>ワカテ</t>
    </rPh>
    <rPh sb="3" eb="5">
      <t>ジョセイ</t>
    </rPh>
    <rPh sb="5" eb="8">
      <t>ギジュツシャ</t>
    </rPh>
    <rPh sb="9" eb="11">
      <t>ハイチ</t>
    </rPh>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</si>
  <si>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</si>
  <si>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</si>
  <si>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</si>
  <si>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</si>
  <si>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</si>
  <si>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</si>
  <si>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除雪・維持補修業務の実績</t>
    <rPh sb="3" eb="5">
      <t>イジ</t>
    </rPh>
    <rPh sb="5" eb="7">
      <t>ホシュウ</t>
    </rPh>
    <rPh sb="7" eb="9">
      <t>ギョウム</t>
    </rPh>
    <rPh sb="10" eb="12">
      <t>ジッセキ</t>
    </rPh>
    <phoneticPr fontId="18"/>
  </si>
  <si>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</si>
  <si>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</si>
  <si>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</si>
  <si>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6"/>
  </si>
  <si>
    <t>建設キャリアアップシステム</t>
    <rPh sb="0" eb="2">
      <t>ケンセツ</t>
    </rPh>
    <phoneticPr fontId="36"/>
  </si>
  <si>
    <t>入札参加者の所在地</t>
    <phoneticPr fontId="18"/>
  </si>
  <si>
    <t>2：OK</t>
    <phoneticPr fontId="36"/>
  </si>
  <si>
    <t>配点</t>
    <rPh sb="0" eb="2">
      <t>ハイテン</t>
    </rPh>
    <phoneticPr fontId="36"/>
  </si>
  <si>
    <t>得点</t>
    <rPh sb="0" eb="2">
      <t>トクテン</t>
    </rPh>
    <phoneticPr fontId="36"/>
  </si>
  <si>
    <r>
      <t xml:space="preserve">氏　名
</t>
    </r>
    <r>
      <rPr>
        <sz val="6"/>
        <color rgb="FF000000"/>
        <rFont val="ＭＳ 明朝"/>
        <family val="1"/>
        <charset val="128"/>
      </rPr>
      <t xml:space="preserve"> </t>
    </r>
    <r>
      <rPr>
        <sz val="8"/>
        <color rgb="FF000000"/>
        <rFont val="ＭＳ 明朝"/>
        <family val="1"/>
        <charset val="128"/>
      </rPr>
      <t>※記名ない場合、配置技術者の全ての項目を評価しない（０点）</t>
    </r>
    <rPh sb="25" eb="27">
      <t>ヒョウカ</t>
    </rPh>
    <phoneticPr fontId="36"/>
  </si>
  <si>
    <r>
      <t>①　企業の技術力及び貢献度（実績・経験等）</t>
    </r>
    <r>
      <rPr>
        <sz val="10"/>
        <rFont val="ＭＳ 明朝"/>
        <family val="1"/>
        <charset val="128"/>
      </rPr>
      <t>（特別簡易型・復旧型・復興型）</t>
    </r>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</si>
  <si>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</si>
  <si>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</si>
  <si>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</si>
  <si>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</si>
  <si>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</si>
  <si>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</si>
  <si>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</si>
  <si>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</si>
  <si>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</si>
  <si>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</si>
  <si>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作成日（技術提案書提出日）</t>
    <rPh sb="0" eb="3">
      <t>サクセイビ</t>
    </rPh>
    <rPh sb="4" eb="6">
      <t>ギジュツ</t>
    </rPh>
    <rPh sb="6" eb="9">
      <t>テイアンショ</t>
    </rPh>
    <rPh sb="9" eb="11">
      <t>テイシュツ</t>
    </rPh>
    <rPh sb="11" eb="12">
      <t>ビ</t>
    </rPh>
    <phoneticPr fontId="36"/>
  </si>
  <si>
    <t>住所</t>
    <rPh sb="0" eb="2">
      <t>ジュウショ</t>
    </rPh>
    <phoneticPr fontId="36"/>
  </si>
  <si>
    <t>商号又は名称</t>
    <rPh sb="0" eb="2">
      <t>ショウゴウ</t>
    </rPh>
    <rPh sb="2" eb="3">
      <t>マタ</t>
    </rPh>
    <rPh sb="4" eb="6">
      <t>メイショウ</t>
    </rPh>
    <phoneticPr fontId="36"/>
  </si>
  <si>
    <t>代表者氏名</t>
    <rPh sb="0" eb="3">
      <t>ダイヒョウシャ</t>
    </rPh>
    <rPh sb="3" eb="5">
      <t>シメイ</t>
    </rPh>
    <phoneticPr fontId="36"/>
  </si>
  <si>
    <t>電話番号</t>
    <rPh sb="0" eb="2">
      <t>デンワ</t>
    </rPh>
    <rPh sb="2" eb="4">
      <t>バンゴウ</t>
    </rPh>
    <phoneticPr fontId="36"/>
  </si>
  <si>
    <t>作成担当者氏名</t>
    <rPh sb="0" eb="2">
      <t>サクセイ</t>
    </rPh>
    <rPh sb="2" eb="5">
      <t>タントウシャ</t>
    </rPh>
    <rPh sb="5" eb="7">
      <t>シメイ</t>
    </rPh>
    <phoneticPr fontId="36"/>
  </si>
  <si>
    <t>備考</t>
    <rPh sb="0" eb="2">
      <t>ビコウ</t>
    </rPh>
    <phoneticPr fontId="36"/>
  </si>
  <si>
    <t>令和○年○月○日</t>
    <rPh sb="0" eb="2">
      <t>レイワ</t>
    </rPh>
    <rPh sb="3" eb="4">
      <t>ネン</t>
    </rPh>
    <rPh sb="5" eb="6">
      <t>ツキ</t>
    </rPh>
    <rPh sb="7" eb="8">
      <t>ニチ</t>
    </rPh>
    <phoneticPr fontId="36"/>
  </si>
  <si>
    <t>特定建設共同企業体名称</t>
    <rPh sb="0" eb="2">
      <t>トクテイ</t>
    </rPh>
    <rPh sb="2" eb="4">
      <t>ケンセツ</t>
    </rPh>
    <rPh sb="4" eb="6">
      <t>キョウドウ</t>
    </rPh>
    <rPh sb="6" eb="9">
      <t>キギョウタイ</t>
    </rPh>
    <rPh sb="9" eb="11">
      <t>メイショウ</t>
    </rPh>
    <phoneticPr fontId="36"/>
  </si>
  <si>
    <t>JVの場合、代表構成員について記載</t>
    <rPh sb="3" eb="5">
      <t>バアイ</t>
    </rPh>
    <rPh sb="6" eb="8">
      <t>ダイヒョウ</t>
    </rPh>
    <rPh sb="8" eb="11">
      <t>コウセイイン</t>
    </rPh>
    <rPh sb="15" eb="17">
      <t>キサイ</t>
    </rPh>
    <phoneticPr fontId="36"/>
  </si>
  <si>
    <t>代表取締役　○○○○</t>
    <rPh sb="0" eb="2">
      <t>ダイヒョウ</t>
    </rPh>
    <rPh sb="2" eb="5">
      <t>トリシマリヤク</t>
    </rPh>
    <phoneticPr fontId="36"/>
  </si>
  <si>
    <t>○○○○</t>
    <phoneticPr fontId="36"/>
  </si>
  <si>
    <t>項目①</t>
    <rPh sb="0" eb="2">
      <t>コウモク</t>
    </rPh>
    <phoneticPr fontId="36"/>
  </si>
  <si>
    <t>項目②</t>
    <rPh sb="0" eb="2">
      <t>コウモク</t>
    </rPh>
    <phoneticPr fontId="36"/>
  </si>
  <si>
    <t>同上</t>
    <rPh sb="0" eb="2">
      <t>ドウジョウ</t>
    </rPh>
    <phoneticPr fontId="36"/>
  </si>
  <si>
    <t>自動計算。
（「品質確保等の確実性」(7点)を含まない。）</t>
    <rPh sb="2" eb="4">
      <t>ケイサン</t>
    </rPh>
    <rPh sb="20" eb="21">
      <t>テン</t>
    </rPh>
    <phoneticPr fontId="36"/>
  </si>
  <si>
    <t>（様式第１１号－１）</t>
    <rPh sb="6" eb="7">
      <t>ゴウ</t>
    </rPh>
    <phoneticPr fontId="36"/>
  </si>
  <si>
    <t>（様式第１１号－２）</t>
    <rPh sb="6" eb="7">
      <t>ゴウ</t>
    </rPh>
    <phoneticPr fontId="36"/>
  </si>
  <si>
    <r>
      <t>竣工検査年月日(</t>
    </r>
    <r>
      <rPr>
        <sz val="9"/>
        <rFont val="ＭＳ 明朝"/>
        <family val="1"/>
        <charset val="128"/>
      </rPr>
      <t>対象:直近)</t>
    </r>
    <r>
      <rPr>
        <sz val="10"/>
        <rFont val="ＭＳ 明朝"/>
        <family val="1"/>
        <charset val="128"/>
      </rPr>
      <t xml:space="preserve">
(入力例:R3/4/1)</t>
    </r>
    <rPh sb="0" eb="2">
      <t>シュンコウ</t>
    </rPh>
    <rPh sb="2" eb="4">
      <t>ケンサ</t>
    </rPh>
    <rPh sb="4" eb="7">
      <t>ネンガッピ</t>
    </rPh>
    <rPh sb="8" eb="10">
      <t>タイショウ</t>
    </rPh>
    <rPh sb="11" eb="13">
      <t>チョッキン</t>
    </rPh>
    <rPh sb="16" eb="19">
      <t>ニュウリョクレイ</t>
    </rPh>
    <phoneticPr fontId="36"/>
  </si>
  <si>
    <t>建築、電気設備、暖冷房衛生設備</t>
    <rPh sb="0" eb="2">
      <t>ケンチク</t>
    </rPh>
    <rPh sb="3" eb="5">
      <t>デンキ</t>
    </rPh>
    <rPh sb="5" eb="7">
      <t>セツビ</t>
    </rPh>
    <rPh sb="8" eb="11">
      <t>ダンレイボウ</t>
    </rPh>
    <rPh sb="11" eb="13">
      <t>エイセイ</t>
    </rPh>
    <rPh sb="13" eb="15">
      <t>セツビ</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</si>
  <si>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</si>
  <si>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</si>
  <si>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85点以上</t>
    <rPh sb="2" eb="3">
      <t>テン</t>
    </rPh>
    <rPh sb="3" eb="5">
      <t>イジョウ</t>
    </rPh>
    <phoneticPr fontId="36"/>
  </si>
  <si>
    <t>配点</t>
    <rPh sb="0" eb="2">
      <t>ハイテン</t>
    </rPh>
    <phoneticPr fontId="36"/>
  </si>
  <si>
    <t>得点</t>
    <rPh sb="0" eb="2">
      <t>トクテン</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</si>
  <si>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</si>
  <si>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color rgb="FF000000"/>
        <rFont val="ＭＳ 明朝"/>
        <family val="1"/>
        <charset val="128"/>
      </rPr>
      <t>(対象:過去10年以内)
(入力例:R3.5.1～R4.3.31)</t>
    </r>
    <rPh sb="0" eb="2">
      <t>コウキ</t>
    </rPh>
    <rPh sb="3" eb="5">
      <t>タイショウ</t>
    </rPh>
    <rPh sb="6" eb="8">
      <t>カコ</t>
    </rPh>
    <rPh sb="10" eb="11">
      <t>ネン</t>
    </rPh>
    <rPh sb="11" eb="13">
      <t>イナイ</t>
    </rPh>
    <phoneticPr fontId="36"/>
  </si>
  <si>
    <t>2：本店</t>
    <rPh sb="2" eb="4">
      <t>ホンテン</t>
    </rPh>
    <phoneticPr fontId="36"/>
  </si>
  <si>
    <t>＜基本データ＞　※黄色セルに入力。</t>
    <rPh sb="9" eb="11">
      <t>キイロ</t>
    </rPh>
    <rPh sb="14" eb="16">
      <t>ニュウリョク</t>
    </rPh>
    <phoneticPr fontId="18"/>
  </si>
  <si>
    <t>000-000-0000</t>
    <phoneticPr fontId="36"/>
  </si>
  <si>
    <t>提出は、様式第１号及び様式第１１号－１をPDF形式で提出又はexcel様式をそのまま提出。</t>
    <phoneticPr fontId="36"/>
  </si>
  <si>
    <t>○○市○○町○○番地</t>
    <rPh sb="2" eb="3">
      <t>シ</t>
    </rPh>
    <rPh sb="5" eb="6">
      <t>マチ</t>
    </rPh>
    <rPh sb="8" eb="9">
      <t>バン</t>
    </rPh>
    <rPh sb="9" eb="10">
      <t>チ</t>
    </rPh>
    <phoneticPr fontId="36"/>
  </si>
  <si>
    <r>
      <rPr>
        <b/>
        <sz val="11"/>
        <color theme="1"/>
        <rFont val="ＭＳ Ｐゴシック"/>
        <family val="3"/>
        <charset val="128"/>
        <scheme val="minor"/>
      </rPr>
      <t>技術提案書の提出月日を入力</t>
    </r>
    <r>
      <rPr>
        <sz val="11"/>
        <color theme="1"/>
        <rFont val="ＭＳ Ｐゴシック"/>
        <family val="3"/>
        <charset val="128"/>
        <scheme val="minor"/>
      </rPr>
      <t>する。
(令和○年○月○日の形式）</t>
    </r>
    <rPh sb="0" eb="2">
      <t>ギジュツ</t>
    </rPh>
    <rPh sb="2" eb="5">
      <t>テイアンショ</t>
    </rPh>
    <rPh sb="6" eb="8">
      <t>テイシュツ</t>
    </rPh>
    <rPh sb="8" eb="10">
      <t>ガッピ</t>
    </rPh>
    <rPh sb="11" eb="13">
      <t>ニュウリョク</t>
    </rPh>
    <phoneticPr fontId="36"/>
  </si>
  <si>
    <r>
      <rPr>
        <b/>
        <sz val="11"/>
        <color rgb="FF000000"/>
        <rFont val="ＭＳ Ｐゴシック"/>
        <family val="3"/>
        <charset val="128"/>
        <scheme val="minor"/>
      </rPr>
      <t>入札公告の公告日を入力</t>
    </r>
    <r>
      <rPr>
        <sz val="11"/>
        <color rgb="FF000000"/>
        <rFont val="ＭＳ Ｐゴシック"/>
        <family val="3"/>
        <charset val="128"/>
        <scheme val="minor"/>
      </rPr>
      <t>する。
(令和○年○月○日の形式）</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</si>
  <si>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</si>
  <si>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t>○○○○○○○○○○○○工事</t>
    <rPh sb="12" eb="14">
      <t>コウジ</t>
    </rPh>
    <phoneticPr fontId="36"/>
  </si>
  <si>
    <t>JV以外の場合、左記を削除する。</t>
    <rPh sb="2" eb="4">
      <t>イガイ</t>
    </rPh>
    <rPh sb="5" eb="7">
      <t>バアイ</t>
    </rPh>
    <rPh sb="8" eb="10">
      <t>サキ</t>
    </rPh>
    <rPh sb="11" eb="13">
      <t>サクジョ</t>
    </rPh>
    <phoneticPr fontId="36"/>
  </si>
  <si>
    <t>項目①：入札参加者の情報を入力</t>
    <rPh sb="0" eb="2">
      <t>コウモク</t>
    </rPh>
    <rPh sb="4" eb="6">
      <t>ニュウサツ</t>
    </rPh>
    <rPh sb="6" eb="9">
      <t>サンカシャ</t>
    </rPh>
    <rPh sb="10" eb="12">
      <t>ジョウホウ</t>
    </rPh>
    <rPh sb="13" eb="15">
      <t>ニュウリョク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</si>
  <si>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</si>
  <si>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</si>
  <si>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6"/>
  </si>
  <si>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</si>
  <si>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</si>
  <si>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t>
    <phoneticPr fontId="36"/>
  </si>
  <si>
    <t>○○・△△特定建設工事共同企業体</t>
    <rPh sb="5" eb="7">
      <t>トクテイ</t>
    </rPh>
    <rPh sb="7" eb="9">
      <t>ケンセツ</t>
    </rPh>
    <rPh sb="9" eb="11">
      <t>コウジ</t>
    </rPh>
    <rPh sb="11" eb="13">
      <t>キョウドウ</t>
    </rPh>
    <rPh sb="13" eb="16">
      <t>キギョウタイ</t>
    </rPh>
    <phoneticPr fontId="36"/>
  </si>
  <si>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6"/>
  </si>
  <si>
    <t>4：OK</t>
    <phoneticPr fontId="36"/>
  </si>
  <si>
    <r>
      <t>記　載　事　項　</t>
    </r>
    <r>
      <rPr>
        <sz val="9"/>
        <color rgb="FF000000"/>
        <rFont val="ＭＳ 明朝"/>
        <family val="1"/>
        <charset val="128"/>
      </rPr>
      <t>【記載の仕方　総合評価方式様式関係記載留意事項　§３、４、５】</t>
    </r>
    <phoneticPr fontId="36"/>
  </si>
  <si>
    <t>※記載事項の基準日は開札日とする。</t>
    <phoneticPr fontId="36"/>
  </si>
  <si>
    <t>※確認のための提出書類は、落札候補者となり入札執行権者から連絡があってから指定期日までに提出すること。</t>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</si>
  <si>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</si>
  <si>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同一市町村内での公共工事の実績</t>
    <phoneticPr fontId="36"/>
  </si>
  <si>
    <t>配置予定技術者</t>
    <rPh sb="0" eb="2">
      <t>ハイチ</t>
    </rPh>
    <rPh sb="2" eb="4">
      <t>ヨテイ</t>
    </rPh>
    <rPh sb="4" eb="7">
      <t>ギジュツシャ</t>
    </rPh>
    <phoneticPr fontId="36"/>
  </si>
  <si>
    <t>現場代理人</t>
    <rPh sb="0" eb="2">
      <t>ゲンバ</t>
    </rPh>
    <rPh sb="2" eb="5">
      <t>ダイリニン</t>
    </rPh>
    <phoneticPr fontId="36"/>
  </si>
  <si>
    <t>：1でない場合、若手・女性0点。</t>
    <rPh sb="5" eb="7">
      <t>バアイ</t>
    </rPh>
    <rPh sb="8" eb="10">
      <t>ワカテ</t>
    </rPh>
    <rPh sb="11" eb="13">
      <t>ジョセイ</t>
    </rPh>
    <rPh sb="14" eb="15">
      <t>テン</t>
    </rPh>
    <phoneticPr fontId="36"/>
  </si>
  <si>
    <t xml:space="preserve">
○様式第１号に記載された「商号」「住所」等の詳細について選択する。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9" eb="31">
      <t>センタク</t>
    </rPh>
    <rPh sb="47" eb="50">
      <t>ジムショ</t>
    </rPh>
    <rPh sb="61" eb="62">
      <t>クニ</t>
    </rPh>
    <rPh sb="63" eb="64">
      <t>ケン</t>
    </rPh>
    <rPh sb="65" eb="68">
      <t>シチョウソン</t>
    </rPh>
    <rPh sb="127" eb="128">
      <t>ウ</t>
    </rPh>
    <rPh sb="131" eb="132">
      <t>ネン</t>
    </rPh>
    <rPh sb="133" eb="135">
      <t>ケイカ</t>
    </rPh>
    <rPh sb="171" eb="173">
      <t>センタク</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</si>
  <si>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</si>
  <si>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</si>
  <si>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県と国、市町村の別</t>
    <rPh sb="0" eb="1">
      <t>ケン</t>
    </rPh>
    <rPh sb="2" eb="3">
      <t>クニ</t>
    </rPh>
    <rPh sb="4" eb="7">
      <t>シチョウソン</t>
    </rPh>
    <rPh sb="8" eb="9">
      <t>ベツ</t>
    </rPh>
    <phoneticPr fontId="36"/>
  </si>
  <si>
    <t>最高得点（県・国、市町村反映）</t>
    <rPh sb="0" eb="2">
      <t>サイコウ</t>
    </rPh>
    <rPh sb="2" eb="4">
      <t>トクテン</t>
    </rPh>
    <rPh sb="5" eb="6">
      <t>ケン</t>
    </rPh>
    <rPh sb="7" eb="8">
      <t>クニ</t>
    </rPh>
    <rPh sb="9" eb="12">
      <t>シチョウソン</t>
    </rPh>
    <rPh sb="12" eb="14">
      <t>ハンエイ</t>
    </rPh>
    <phoneticPr fontId="36"/>
  </si>
  <si>
    <t>-</t>
    <phoneticPr fontId="36"/>
  </si>
  <si>
    <t>-</t>
    <phoneticPr fontId="36"/>
  </si>
  <si>
    <r>
      <t xml:space="preserve">
配置技術者の工事成績
</t>
    </r>
    <r>
      <rPr>
        <sz val="10"/>
        <color rgb="FF000000"/>
        <rFont val="ＭＳ 明朝"/>
        <family val="1"/>
        <charset val="128"/>
      </rPr>
      <t>（80点以上の工事成績が対象）</t>
    </r>
    <rPh sb="8" eb="10">
      <t>コウジ</t>
    </rPh>
    <rPh sb="10" eb="12">
      <t>セイセキ</t>
    </rPh>
    <rPh sb="17" eb="18">
      <t>テン</t>
    </rPh>
    <rPh sb="18" eb="20">
      <t>イジョウ</t>
    </rPh>
    <rPh sb="21" eb="23">
      <t>コウジ</t>
    </rPh>
    <rPh sb="23" eb="25">
      <t>セイセキ</t>
    </rPh>
    <rPh sb="26" eb="28">
      <t>タイショウ</t>
    </rPh>
    <phoneticPr fontId="18"/>
  </si>
  <si>
    <r>
      <t>工事番号</t>
    </r>
    <r>
      <rPr>
        <sz val="10"/>
        <rFont val="ＭＳ 明朝"/>
        <family val="1"/>
        <charset val="128"/>
      </rPr>
      <t>（半角数字）</t>
    </r>
    <rPh sb="5" eb="7">
      <t>ハンカク</t>
    </rPh>
    <rPh sb="7" eb="9">
      <t>スウジ</t>
    </rPh>
    <phoneticPr fontId="36"/>
  </si>
  <si>
    <t>[入力]
[選択]</t>
    <rPh sb="1" eb="3">
      <t>ニュウリョク</t>
    </rPh>
    <rPh sb="6" eb="8">
      <t>センタク</t>
    </rPh>
    <phoneticPr fontId="36"/>
  </si>
  <si>
    <t>[選択]</t>
    <rPh sb="1" eb="3">
      <t>センタク</t>
    </rPh>
    <phoneticPr fontId="36"/>
  </si>
  <si>
    <t>[自動表示]</t>
    <rPh sb="1" eb="3">
      <t>ジドウ</t>
    </rPh>
    <rPh sb="3" eb="5">
      <t>ヒョウジ</t>
    </rPh>
    <phoneticPr fontId="36"/>
  </si>
  <si>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6"/>
  </si>
  <si>
    <t>項　　目</t>
    <phoneticPr fontId="18"/>
  </si>
  <si>
    <t>項　　目</t>
    <phoneticPr fontId="36"/>
  </si>
  <si>
    <t>項　　目</t>
    <phoneticPr fontId="36"/>
  </si>
  <si>
    <r>
      <t xml:space="preserve">
配置技術者の施工能力
</t>
    </r>
    <r>
      <rPr>
        <sz val="10"/>
        <rFont val="ＭＳ 明朝"/>
        <family val="1"/>
        <charset val="128"/>
      </rPr>
      <t>（同種・類似工事の施工実績）
（注１）</t>
    </r>
    <rPh sb="30" eb="31">
      <t>チュウ</t>
    </rPh>
    <phoneticPr fontId="36"/>
  </si>
  <si>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6"/>
  </si>
  <si>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6"/>
  </si>
  <si>
    <t>[選択]</t>
    <rPh sb="0" eb="2">
      <t>センタク</t>
    </rPh>
    <phoneticPr fontId="36"/>
  </si>
  <si>
    <t>発注種別
[選択]</t>
    <rPh sb="0" eb="2">
      <t>ハッチュウ</t>
    </rPh>
    <rPh sb="2" eb="4">
      <t>シュベツ</t>
    </rPh>
    <rPh sb="6" eb="8">
      <t>センタク</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</si>
  <si>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</si>
  <si>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</si>
  <si>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</si>
  <si>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6"/>
  </si>
  <si>
    <t>【上位点】直前の5年度間連続して国・県・市町村いずれかの除雪業務と維持補修業務の両方の履行実績がある場合。又は過去5年度以内に福島県道路除雪表彰事業により感謝状を受けた場合。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</si>
  <si>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6"/>
  </si>
  <si>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</si>
  <si>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</si>
  <si>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</si>
  <si>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</si>
  <si>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</si>
  <si>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</si>
  <si>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</si>
  <si>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t>※選択項目について、３項目以上選択された場合、入力された内容で加算点が高い順に２項目採用し、２番目の点数が２項目ある場合は
　上に入力されている順に採用する。</t>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</si>
  <si>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</si>
  <si>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令和5年度様式（令和5年4月1日以降の入札公告から適用）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</si>
  <si>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6"/>
  </si>
  <si>
    <t>配置予定技術者又は現場代理人へ配置する場合。
※氏名を入力し、選択する</t>
    <rPh sb="0" eb="2">
      <t>ハイチ</t>
    </rPh>
    <rPh sb="2" eb="4">
      <t>ヨテイ</t>
    </rPh>
    <rPh sb="4" eb="7">
      <t>ギジュツシャ</t>
    </rPh>
    <rPh sb="7" eb="8">
      <t>マタ</t>
    </rPh>
    <rPh sb="9" eb="11">
      <t>ゲンバ</t>
    </rPh>
    <rPh sb="11" eb="14">
      <t>ダイリニン</t>
    </rPh>
    <rPh sb="15" eb="17">
      <t>ハイチ</t>
    </rPh>
    <rPh sb="19" eb="21">
      <t>バアイ</t>
    </rPh>
    <rPh sb="24" eb="26">
      <t>シメイ</t>
    </rPh>
    <rPh sb="27" eb="29">
      <t>ニュウリョク</t>
    </rPh>
    <rPh sb="31" eb="33">
      <t>センタク</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</si>
  <si>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</si>
  <si>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t>「県管理施設」又は「国、市町村管理施設」を選択する↓
（G48セル）</t>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6"/>
  </si>
  <si>
    <t>「県管理施設」又は「国、市町村管理施設」を選択する↓
（G54セル）</t>
    <rPh sb="17" eb="19">
      <t>シセツ</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</si>
</sst>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s>
  <fonts count="71"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10.5"/>
      <color rgb="FF000000"/>
      <name val="ＭＳ Ｐ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2"/>
      <name val="ＭＳ Ｐゴシック"/>
      <family val="3"/>
      <charset val="128"/>
      <scheme val="minor"/>
    </font>
    <font>
      <sz val="11"/>
      <name val="ＭＳ 明朝"/>
      <family val="1"/>
      <charset val="128"/>
    </font>
    <font>
      <sz val="18"/>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1"/>
      <color rgb="FF000000"/>
      <name val="ＭＳ Ｐゴシック"/>
      <family val="3"/>
      <charset val="128"/>
      <scheme val="minor"/>
    </font>
    <font>
      <b/>
      <sz val="12"/>
      <color theme="1"/>
      <name val="ＭＳ Ｐゴシック"/>
      <family val="3"/>
      <charset val="128"/>
    </font>
    <font>
      <sz val="11"/>
      <name val="ＭＳ ゴシック"/>
      <family val="3"/>
      <charset val="128"/>
    </font>
    <font>
      <sz val="9"/>
      <color rgb="FF000000"/>
      <name val="ＭＳ ゴシック"/>
      <family val="3"/>
      <charset val="128"/>
    </font>
    <font>
      <sz val="9"/>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diagonalUp="1">
      <left style="medium">
        <color indexed="64"/>
      </left>
      <right/>
      <top/>
      <bottom/>
      <diagonal style="hair">
        <color indexed="64"/>
      </diagonal>
    </border>
    <border diagonalUp="1">
      <left/>
      <right style="thin">
        <color indexed="64"/>
      </right>
      <top style="thin">
        <color indexed="64"/>
      </top>
      <bottom/>
      <diagonal style="hair">
        <color indexed="64"/>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3">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30" fillId="0" borderId="10" xfId="0" applyFont="1" applyFill="1" applyBorder="1" applyAlignment="1" applyProtection="1">
      <alignment vertical="center" wrapText="1"/>
    </xf>
    <xf numFmtId="0" fontId="51" fillId="0" borderId="10" xfId="0" applyFont="1" applyFill="1" applyBorder="1" applyAlignment="1" applyProtection="1">
      <alignment horizontal="center" vertical="center" wrapText="1"/>
    </xf>
    <xf numFmtId="0" fontId="30" fillId="0" borderId="18" xfId="0" applyFont="1" applyFill="1" applyBorder="1" applyAlignment="1" applyProtection="1">
      <alignment vertical="center" wrapText="1"/>
    </xf>
    <xf numFmtId="0" fontId="51"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59" fillId="0" borderId="0" xfId="0" applyFont="1">
      <alignment vertical="center"/>
    </xf>
    <xf numFmtId="49" fontId="59" fillId="0" borderId="0" xfId="0" applyNumberFormat="1" applyFont="1">
      <alignment vertical="center"/>
    </xf>
    <xf numFmtId="0" fontId="30" fillId="0" borderId="70"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70" xfId="0" applyFont="1" applyFill="1" applyBorder="1" applyAlignment="1" applyProtection="1">
      <alignment horizontal="center" vertical="center" wrapText="1"/>
    </xf>
    <xf numFmtId="0" fontId="26" fillId="0" borderId="55" xfId="0" quotePrefix="1" applyFont="1" applyBorder="1" applyAlignment="1" applyProtection="1">
      <alignment horizontal="center" vertical="center" wrapText="1"/>
    </xf>
    <xf numFmtId="0" fontId="30" fillId="0" borderId="16" xfId="0" applyFont="1" applyFill="1" applyBorder="1" applyAlignment="1" applyProtection="1">
      <alignment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3" fillId="0" borderId="10" xfId="0" applyNumberFormat="1" applyFont="1" applyFill="1" applyBorder="1" applyAlignment="1" applyProtection="1">
      <alignment horizontal="right" vertical="center" wrapText="1"/>
    </xf>
    <xf numFmtId="0" fontId="29" fillId="0" borderId="31" xfId="0" applyFont="1" applyFill="1" applyBorder="1" applyAlignment="1" applyProtection="1">
      <alignment vertical="center" wrapText="1"/>
    </xf>
    <xf numFmtId="0" fontId="29" fillId="0" borderId="21" xfId="0" applyFont="1" applyFill="1" applyBorder="1" applyAlignment="1" applyProtection="1">
      <alignment horizontal="left" vertical="center" wrapText="1"/>
    </xf>
    <xf numFmtId="0" fontId="19" fillId="0" borderId="0" xfId="0" applyFont="1" applyProtection="1">
      <alignment vertical="center"/>
    </xf>
    <xf numFmtId="0" fontId="35"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8" fillId="0" borderId="0" xfId="0" applyFont="1" applyBorder="1" applyAlignment="1" applyProtection="1">
      <alignment horizontal="right" vertical="top"/>
    </xf>
    <xf numFmtId="0" fontId="33" fillId="0" borderId="0" xfId="0" applyFont="1" applyBorder="1" applyAlignment="1" applyProtection="1">
      <alignment horizontal="left" vertical="top" wrapText="1"/>
    </xf>
    <xf numFmtId="178" fontId="31"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8"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9" fillId="0" borderId="23" xfId="0" applyFont="1" applyBorder="1" applyAlignment="1" applyProtection="1">
      <alignment vertical="center"/>
    </xf>
    <xf numFmtId="0" fontId="41" fillId="0" borderId="10" xfId="0" applyFont="1" applyFill="1" applyBorder="1" applyAlignment="1" applyProtection="1">
      <alignment horizontal="center" vertical="center" wrapText="1"/>
    </xf>
    <xf numFmtId="0" fontId="40"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7" fillId="0" borderId="10" xfId="0" applyFont="1" applyFill="1" applyBorder="1" applyAlignment="1" applyProtection="1">
      <alignment horizontal="center" vertical="center" wrapText="1"/>
    </xf>
    <xf numFmtId="0" fontId="23" fillId="0" borderId="51"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6" xfId="0" applyFont="1" applyBorder="1" applyProtection="1">
      <alignment vertical="center"/>
    </xf>
    <xf numFmtId="0" fontId="19" fillId="0" borderId="12" xfId="0" applyFont="1" applyBorder="1" applyProtection="1">
      <alignment vertical="center"/>
    </xf>
    <xf numFmtId="0" fontId="41" fillId="0" borderId="11" xfId="0" applyFont="1" applyFill="1" applyBorder="1" applyAlignment="1" applyProtection="1">
      <alignment horizontal="left" vertical="top" wrapText="1"/>
    </xf>
    <xf numFmtId="0" fontId="43"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3" fillId="0" borderId="10" xfId="0" applyNumberFormat="1" applyFont="1" applyFill="1" applyBorder="1" applyAlignment="1" applyProtection="1">
      <alignment horizontal="right" vertical="center" wrapText="1"/>
    </xf>
    <xf numFmtId="0" fontId="41"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3"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2"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3"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2"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4"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3" fillId="0" borderId="0" xfId="0" applyFont="1" applyFill="1" applyBorder="1" applyAlignment="1" applyProtection="1">
      <alignment vertical="center" wrapText="1"/>
    </xf>
    <xf numFmtId="181" fontId="19" fillId="0" borderId="78" xfId="0" applyNumberFormat="1" applyFont="1" applyBorder="1" applyProtection="1">
      <alignment vertical="center"/>
    </xf>
    <xf numFmtId="181" fontId="44" fillId="0" borderId="52"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50" fillId="0" borderId="0" xfId="0" applyFont="1" applyProtection="1">
      <alignment vertical="center"/>
    </xf>
    <xf numFmtId="181" fontId="19" fillId="0" borderId="53" xfId="0" applyNumberFormat="1" applyFont="1" applyBorder="1" applyProtection="1">
      <alignment vertical="center"/>
    </xf>
    <xf numFmtId="181" fontId="44" fillId="0" borderId="42" xfId="0" applyNumberFormat="1" applyFont="1" applyFill="1" applyBorder="1" applyAlignment="1" applyProtection="1">
      <alignment horizontal="right" vertical="center" wrapText="1"/>
    </xf>
    <xf numFmtId="181" fontId="0" fillId="0" borderId="42"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4"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1" fillId="0" borderId="0" xfId="0" applyFont="1" applyBorder="1" applyAlignment="1" applyProtection="1">
      <alignment vertical="top" wrapText="1"/>
    </xf>
    <xf numFmtId="0" fontId="29" fillId="0" borderId="10" xfId="0" applyFont="1" applyBorder="1" applyAlignment="1" applyProtection="1">
      <alignment horizontal="center" vertical="center" shrinkToFit="1"/>
    </xf>
    <xf numFmtId="0" fontId="29"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8" fillId="0" borderId="32" xfId="0" applyFont="1" applyBorder="1" applyAlignment="1" applyProtection="1">
      <alignment vertical="center" shrinkToFit="1"/>
    </xf>
    <xf numFmtId="0" fontId="19" fillId="0" borderId="32" xfId="0" applyFont="1" applyBorder="1" applyProtection="1">
      <alignment vertical="center"/>
    </xf>
    <xf numFmtId="0" fontId="19" fillId="0" borderId="58" xfId="0" applyFont="1" applyBorder="1" applyProtection="1">
      <alignment vertical="center"/>
    </xf>
    <xf numFmtId="180" fontId="0" fillId="0" borderId="0" xfId="0" applyNumberFormat="1" applyBorder="1" applyAlignment="1" applyProtection="1">
      <alignment vertical="center"/>
    </xf>
    <xf numFmtId="0" fontId="41" fillId="0" borderId="0" xfId="0" applyFont="1" applyBorder="1" applyAlignment="1" applyProtection="1">
      <alignment vertical="center" wrapText="1"/>
    </xf>
    <xf numFmtId="0" fontId="19" fillId="0" borderId="26" xfId="0" applyFont="1" applyBorder="1" applyProtection="1">
      <alignment vertical="center"/>
    </xf>
    <xf numFmtId="180" fontId="43" fillId="0" borderId="25" xfId="0" applyNumberFormat="1" applyFont="1" applyBorder="1" applyAlignment="1" applyProtection="1">
      <alignment vertical="center" wrapText="1"/>
    </xf>
    <xf numFmtId="180" fontId="44" fillId="0" borderId="0" xfId="0" applyNumberFormat="1" applyFont="1" applyBorder="1" applyAlignment="1" applyProtection="1">
      <alignment horizontal="right" vertical="center" wrapText="1"/>
    </xf>
    <xf numFmtId="0" fontId="54" fillId="0" borderId="10" xfId="0" applyFont="1" applyBorder="1" applyAlignment="1" applyProtection="1">
      <alignment horizontal="center" vertical="center" wrapText="1"/>
    </xf>
    <xf numFmtId="180" fontId="43" fillId="0" borderId="0" xfId="0" applyNumberFormat="1" applyFont="1" applyBorder="1" applyAlignment="1" applyProtection="1">
      <alignment vertical="center" wrapText="1"/>
    </xf>
    <xf numFmtId="0" fontId="43" fillId="0" borderId="0" xfId="0" applyFont="1" applyBorder="1" applyAlignment="1" applyProtection="1">
      <alignment vertical="center" wrapText="1"/>
    </xf>
    <xf numFmtId="180" fontId="43" fillId="0" borderId="23" xfId="0" applyNumberFormat="1" applyFont="1" applyBorder="1" applyAlignment="1" applyProtection="1">
      <alignment vertical="center" wrapText="1"/>
    </xf>
    <xf numFmtId="180" fontId="44" fillId="0" borderId="23" xfId="0" applyNumberFormat="1" applyFont="1" applyBorder="1" applyAlignment="1" applyProtection="1">
      <alignment horizontal="right" vertical="center" wrapText="1"/>
    </xf>
    <xf numFmtId="0" fontId="61" fillId="0" borderId="18" xfId="0" applyFont="1" applyBorder="1" applyAlignment="1" applyProtection="1">
      <alignment horizontal="left" vertical="center" wrapText="1"/>
    </xf>
    <xf numFmtId="177" fontId="33" fillId="0" borderId="18" xfId="0" applyNumberFormat="1" applyFont="1" applyBorder="1" applyAlignment="1" applyProtection="1">
      <alignment horizontal="center" vertical="center"/>
    </xf>
    <xf numFmtId="0" fontId="46" fillId="0" borderId="10" xfId="0" applyFont="1" applyBorder="1" applyAlignment="1" applyProtection="1">
      <alignment vertical="center" wrapText="1"/>
    </xf>
    <xf numFmtId="0" fontId="46" fillId="0" borderId="33" xfId="0" applyFont="1" applyBorder="1" applyAlignment="1" applyProtection="1">
      <alignment vertical="center" wrapText="1"/>
    </xf>
    <xf numFmtId="0" fontId="46" fillId="0" borderId="34" xfId="0" applyFont="1" applyBorder="1" applyAlignment="1" applyProtection="1">
      <alignment vertical="center" wrapText="1"/>
    </xf>
    <xf numFmtId="0" fontId="46" fillId="0" borderId="11" xfId="0" applyFont="1" applyBorder="1" applyAlignment="1" applyProtection="1">
      <alignment vertical="center" wrapText="1"/>
    </xf>
    <xf numFmtId="0" fontId="46"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7"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7"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7"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41" xfId="0" applyNumberFormat="1"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7"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7" fillId="0" borderId="20" xfId="0" applyFont="1" applyBorder="1" applyAlignment="1" applyProtection="1">
      <alignment vertical="center" wrapText="1"/>
    </xf>
    <xf numFmtId="0" fontId="19" fillId="0" borderId="42" xfId="0" applyFont="1" applyBorder="1" applyAlignment="1" applyProtection="1">
      <alignment horizontal="right" vertical="center" shrinkToFit="1"/>
    </xf>
    <xf numFmtId="177" fontId="19" fillId="0" borderId="42" xfId="0" applyNumberFormat="1" applyFont="1" applyBorder="1" applyAlignment="1" applyProtection="1">
      <alignment horizontal="right" vertical="center" shrinkToFit="1"/>
    </xf>
    <xf numFmtId="180" fontId="37"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0" fillId="0" borderId="10" xfId="0" applyFont="1" applyFill="1" applyBorder="1" applyAlignment="1" applyProtection="1">
      <alignment vertical="center" wrapText="1"/>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63" fillId="34" borderId="10" xfId="0" applyFont="1" applyFill="1" applyBorder="1" applyAlignment="1" applyProtection="1">
      <alignment horizontal="center" vertical="center"/>
    </xf>
    <xf numFmtId="0" fontId="37"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55" fillId="35" borderId="57" xfId="0" applyFont="1" applyFill="1" applyBorder="1" applyAlignment="1" applyProtection="1">
      <alignment vertical="center" wrapText="1"/>
      <protection locked="0"/>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4" fillId="37" borderId="0" xfId="0" applyFont="1" applyFill="1" applyAlignment="1" applyProtection="1">
      <alignment vertical="center"/>
    </xf>
    <xf numFmtId="0" fontId="19" fillId="37" borderId="0" xfId="0" applyFont="1" applyFill="1" applyProtection="1">
      <alignment vertical="center"/>
    </xf>
    <xf numFmtId="0" fontId="64" fillId="37" borderId="0" xfId="0" applyFont="1" applyFill="1" applyProtection="1">
      <alignment vertical="center"/>
    </xf>
    <xf numFmtId="0" fontId="35" fillId="0" borderId="0" xfId="0" applyFont="1" applyProtection="1">
      <alignment vertical="center"/>
    </xf>
    <xf numFmtId="0" fontId="65" fillId="0" borderId="0" xfId="0" applyFont="1" applyBorder="1" applyAlignment="1" applyProtection="1">
      <alignment horizontal="left" vertical="center"/>
    </xf>
    <xf numFmtId="0" fontId="52" fillId="0" borderId="18" xfId="0" applyFont="1" applyFill="1" applyBorder="1" applyAlignment="1" applyProtection="1">
      <alignment horizontal="left" vertical="center"/>
    </xf>
    <xf numFmtId="0" fontId="52" fillId="0" borderId="10" xfId="0" applyFont="1" applyBorder="1" applyProtection="1">
      <alignment vertical="center"/>
    </xf>
    <xf numFmtId="0" fontId="19" fillId="0" borderId="10" xfId="0" applyFont="1" applyBorder="1" applyAlignment="1" applyProtection="1">
      <alignment horizontal="center" vertical="center" wrapText="1"/>
    </xf>
    <xf numFmtId="0" fontId="22" fillId="38" borderId="47" xfId="0" applyFont="1" applyFill="1" applyBorder="1" applyAlignment="1" applyProtection="1">
      <alignment horizontal="center" vertical="center" wrapText="1"/>
    </xf>
    <xf numFmtId="177" fontId="43" fillId="38" borderId="46" xfId="0" applyNumberFormat="1" applyFont="1" applyFill="1" applyBorder="1" applyAlignment="1" applyProtection="1">
      <alignment horizontal="right" vertical="center" wrapText="1"/>
    </xf>
    <xf numFmtId="177" fontId="44" fillId="38" borderId="67" xfId="0" applyNumberFormat="1" applyFont="1" applyFill="1" applyBorder="1" applyAlignment="1" applyProtection="1">
      <alignment horizontal="right" vertical="center" wrapText="1"/>
    </xf>
    <xf numFmtId="0" fontId="44" fillId="38" borderId="46" xfId="0" applyFont="1" applyFill="1" applyBorder="1" applyAlignment="1" applyProtection="1">
      <alignment horizontal="right" vertical="center" wrapText="1"/>
    </xf>
    <xf numFmtId="176" fontId="44" fillId="38" borderId="46" xfId="0" applyNumberFormat="1" applyFont="1" applyFill="1" applyBorder="1" applyAlignment="1" applyProtection="1">
      <alignment horizontal="right" vertical="center" wrapText="1"/>
    </xf>
    <xf numFmtId="0" fontId="0" fillId="38" borderId="47" xfId="0" applyFill="1" applyBorder="1" applyAlignment="1" applyProtection="1">
      <alignment horizontal="center"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Alignment="1" applyProtection="1">
      <alignment horizontal="right" vertical="center"/>
    </xf>
    <xf numFmtId="180" fontId="19" fillId="38" borderId="50" xfId="0" applyNumberFormat="1" applyFont="1" applyFill="1" applyBorder="1" applyProtection="1">
      <alignment vertical="center"/>
    </xf>
    <xf numFmtId="0" fontId="19" fillId="38" borderId="46" xfId="0" applyFont="1" applyFill="1" applyBorder="1" applyProtection="1">
      <alignment vertical="center"/>
    </xf>
    <xf numFmtId="0" fontId="50" fillId="0" borderId="10" xfId="0" applyFont="1" applyBorder="1" applyProtection="1">
      <alignment vertical="center"/>
    </xf>
    <xf numFmtId="0" fontId="67"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2"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180" fontId="19" fillId="38" borderId="51" xfId="0" applyNumberFormat="1" applyFont="1" applyFill="1" applyBorder="1" applyAlignment="1" applyProtection="1">
      <alignment horizontal="right" vertical="center"/>
    </xf>
    <xf numFmtId="0" fontId="59" fillId="0" borderId="0" xfId="0" applyFont="1" applyFill="1" applyAlignment="1" applyProtection="1">
      <alignment vertical="center" shrinkToFit="1"/>
    </xf>
    <xf numFmtId="0" fontId="59" fillId="0" borderId="0" xfId="0" applyFont="1" applyProtection="1">
      <alignment vertical="center"/>
    </xf>
    <xf numFmtId="0" fontId="40" fillId="0" borderId="0" xfId="0" applyFont="1" applyAlignment="1" applyProtection="1">
      <alignment horizontal="justify" vertical="center"/>
    </xf>
    <xf numFmtId="0" fontId="56" fillId="0" borderId="0" xfId="0" applyFont="1" applyFill="1" applyAlignment="1" applyProtection="1">
      <alignment horizontal="right" vertical="center"/>
    </xf>
    <xf numFmtId="0" fontId="40" fillId="0" borderId="0" xfId="0" applyFont="1" applyAlignment="1" applyProtection="1"/>
    <xf numFmtId="0" fontId="40" fillId="0" borderId="0" xfId="0" applyFont="1" applyAlignment="1" applyProtection="1">
      <alignment horizontal="left"/>
    </xf>
    <xf numFmtId="0" fontId="52"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62" fillId="0" borderId="10" xfId="0" applyFont="1" applyBorder="1" applyAlignment="1" applyProtection="1">
      <alignment horizontal="center" vertical="center" wrapText="1"/>
    </xf>
    <xf numFmtId="180" fontId="0" fillId="38" borderId="46" xfId="0" applyNumberFormat="1" applyFill="1" applyBorder="1" applyAlignment="1" applyProtection="1">
      <alignment vertical="center"/>
    </xf>
    <xf numFmtId="0" fontId="46" fillId="0" borderId="22" xfId="0" applyFont="1" applyBorder="1" applyAlignment="1" applyProtection="1">
      <alignment vertical="center" wrapText="1"/>
    </xf>
    <xf numFmtId="0" fontId="28" fillId="0" borderId="10" xfId="0" applyFont="1" applyBorder="1" applyAlignment="1" applyProtection="1">
      <alignment horizontal="center" vertical="center" wrapText="1"/>
    </xf>
    <xf numFmtId="0" fontId="28" fillId="0" borderId="43"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7" fillId="0" borderId="43" xfId="0" applyNumberFormat="1" applyFont="1" applyBorder="1" applyProtection="1">
      <alignment vertical="center"/>
    </xf>
    <xf numFmtId="177" fontId="19" fillId="0" borderId="37" xfId="0" applyNumberFormat="1" applyFont="1" applyBorder="1" applyProtection="1">
      <alignment vertical="center"/>
    </xf>
    <xf numFmtId="177" fontId="37" fillId="0" borderId="79" xfId="0" applyNumberFormat="1" applyFont="1" applyBorder="1" applyProtection="1">
      <alignment vertical="center"/>
    </xf>
    <xf numFmtId="177" fontId="19" fillId="0" borderId="80" xfId="0" applyNumberFormat="1" applyFont="1" applyBorder="1" applyProtection="1">
      <alignment vertical="center"/>
    </xf>
    <xf numFmtId="177" fontId="37" fillId="0" borderId="81" xfId="0" applyNumberFormat="1" applyFont="1" applyBorder="1" applyProtection="1">
      <alignment vertical="center"/>
    </xf>
    <xf numFmtId="177" fontId="19" fillId="0" borderId="42" xfId="0" applyNumberFormat="1" applyFont="1" applyBorder="1" applyProtection="1">
      <alignment vertical="center"/>
    </xf>
    <xf numFmtId="177" fontId="37" fillId="0" borderId="82" xfId="0" applyNumberFormat="1" applyFont="1" applyBorder="1" applyProtection="1">
      <alignment vertical="center"/>
    </xf>
    <xf numFmtId="49" fontId="26" fillId="35" borderId="71" xfId="0" quotePrefix="1" applyNumberFormat="1" applyFont="1" applyFill="1" applyBorder="1" applyAlignment="1" applyProtection="1">
      <alignment horizontal="center" vertical="center" wrapText="1"/>
      <protection locked="0"/>
    </xf>
    <xf numFmtId="49" fontId="23" fillId="35" borderId="71" xfId="0" quotePrefix="1" applyNumberFormat="1" applyFont="1" applyFill="1" applyBorder="1" applyAlignment="1" applyProtection="1">
      <alignment horizontal="center" vertical="center" wrapText="1"/>
      <protection locked="0"/>
    </xf>
    <xf numFmtId="49" fontId="55" fillId="35" borderId="57" xfId="0" applyNumberFormat="1" applyFont="1" applyFill="1" applyBorder="1" applyAlignment="1" applyProtection="1">
      <alignment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4" fillId="38" borderId="46"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7" xfId="0" applyNumberFormat="1" applyFont="1" applyBorder="1" applyProtection="1">
      <alignment vertical="center"/>
    </xf>
    <xf numFmtId="2" fontId="19" fillId="0" borderId="48" xfId="0" applyNumberFormat="1" applyFont="1" applyBorder="1" applyProtection="1">
      <alignment vertical="center"/>
    </xf>
    <xf numFmtId="2" fontId="19" fillId="0" borderId="51" xfId="0" applyNumberFormat="1" applyFont="1" applyBorder="1" applyAlignment="1" applyProtection="1">
      <alignment vertical="center"/>
    </xf>
    <xf numFmtId="2" fontId="19" fillId="0" borderId="46" xfId="0" applyNumberFormat="1" applyFont="1" applyBorder="1" applyAlignment="1" applyProtection="1">
      <alignment vertical="center"/>
    </xf>
    <xf numFmtId="0" fontId="19" fillId="0" borderId="13" xfId="0" applyFont="1" applyBorder="1" applyProtection="1">
      <alignment vertical="center"/>
    </xf>
    <xf numFmtId="176" fontId="23" fillId="0" borderId="84" xfId="0" applyNumberFormat="1" applyFont="1" applyFill="1" applyBorder="1" applyAlignment="1" applyProtection="1">
      <alignment horizontal="center" vertical="center" wrapText="1"/>
    </xf>
    <xf numFmtId="0" fontId="26" fillId="0" borderId="48" xfId="0" applyFont="1" applyBorder="1" applyAlignment="1" applyProtection="1">
      <alignment horizontal="center" vertical="center" wrapText="1"/>
    </xf>
    <xf numFmtId="2" fontId="19" fillId="0" borderId="28" xfId="0" applyNumberFormat="1" applyFont="1" applyBorder="1" applyProtection="1">
      <alignment vertical="center"/>
    </xf>
    <xf numFmtId="0" fontId="0" fillId="0" borderId="0" xfId="0" applyFont="1" applyAlignment="1" applyProtection="1"/>
    <xf numFmtId="0" fontId="19" fillId="0" borderId="0" xfId="0" applyFont="1" applyAlignment="1" applyProtection="1"/>
    <xf numFmtId="0" fontId="0" fillId="0" borderId="0" xfId="0" applyAlignment="1" applyProtection="1"/>
    <xf numFmtId="0" fontId="19" fillId="0" borderId="0" xfId="0" applyFont="1" applyBorder="1" applyAlignment="1" applyProtection="1"/>
    <xf numFmtId="0" fontId="44" fillId="0" borderId="0" xfId="0" applyFont="1" applyBorder="1" applyAlignment="1" applyProtection="1"/>
    <xf numFmtId="177" fontId="19" fillId="0" borderId="0" xfId="0" applyNumberFormat="1" applyFont="1" applyBorder="1" applyAlignment="1" applyProtection="1"/>
    <xf numFmtId="176" fontId="44" fillId="0" borderId="0" xfId="0" applyNumberFormat="1" applyFont="1" applyFill="1" applyBorder="1" applyAlignment="1" applyProtection="1">
      <alignment horizontal="right" wrapText="1"/>
    </xf>
    <xf numFmtId="0" fontId="0" fillId="0" borderId="0" xfId="0" applyBorder="1" applyAlignment="1" applyProtection="1">
      <alignment horizontal="right"/>
    </xf>
    <xf numFmtId="0" fontId="0" fillId="0" borderId="0" xfId="0" applyBorder="1" applyAlignment="1" applyProtection="1"/>
    <xf numFmtId="0" fontId="19" fillId="0" borderId="10" xfId="0" applyFont="1" applyBorder="1" applyAlignment="1" applyProtection="1">
      <alignment horizontal="center"/>
    </xf>
    <xf numFmtId="0" fontId="59" fillId="0" borderId="0" xfId="0" applyFont="1" applyAlignment="1">
      <alignment horizontal="right" vertical="center"/>
    </xf>
    <xf numFmtId="0" fontId="70" fillId="0" borderId="0" xfId="0" applyFont="1" applyAlignment="1">
      <alignment horizontal="right" vertical="center"/>
    </xf>
    <xf numFmtId="0" fontId="32" fillId="0" borderId="0" xfId="0" applyFont="1" applyBorder="1" applyAlignment="1" applyProtection="1">
      <alignment horizontal="center" vertical="center"/>
    </xf>
    <xf numFmtId="178" fontId="69" fillId="0" borderId="0" xfId="0" applyNumberFormat="1" applyFont="1" applyBorder="1" applyAlignment="1" applyProtection="1">
      <alignment horizontal="right" vertical="top"/>
    </xf>
    <xf numFmtId="0" fontId="40" fillId="0" borderId="0" xfId="0" applyFont="1" applyAlignment="1" applyProtection="1">
      <alignment horizontal="left" vertical="center"/>
    </xf>
    <xf numFmtId="0" fontId="23" fillId="36" borderId="30" xfId="0" applyFont="1" applyFill="1" applyBorder="1" applyAlignment="1" applyProtection="1">
      <alignment horizontal="center" vertical="center" wrapText="1"/>
      <protection locked="0"/>
    </xf>
    <xf numFmtId="177" fontId="26" fillId="0" borderId="10" xfId="0" applyNumberFormat="1" applyFont="1" applyFill="1" applyBorder="1" applyAlignment="1" applyProtection="1">
      <alignment horizontal="left" vertical="center" wrapText="1"/>
    </xf>
    <xf numFmtId="177" fontId="23" fillId="35" borderId="28" xfId="0" applyNumberFormat="1" applyFont="1" applyFill="1" applyBorder="1" applyAlignment="1" applyProtection="1">
      <alignment horizontal="center" vertical="center" wrapText="1"/>
      <protection locked="0"/>
    </xf>
    <xf numFmtId="177" fontId="23" fillId="35" borderId="86" xfId="0" applyNumberFormat="1" applyFont="1" applyFill="1" applyBorder="1" applyAlignment="1" applyProtection="1">
      <alignment horizontal="center" vertical="center" wrapText="1"/>
      <protection locked="0"/>
    </xf>
    <xf numFmtId="0" fontId="63" fillId="34" borderId="12" xfId="0" applyFont="1" applyFill="1" applyBorder="1" applyAlignment="1" applyProtection="1">
      <alignment horizontal="center" vertical="center"/>
    </xf>
    <xf numFmtId="0" fontId="63" fillId="34" borderId="11" xfId="0" applyFont="1" applyFill="1" applyBorder="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7" fillId="0" borderId="0" xfId="0" applyFont="1" applyAlignment="1" applyProtection="1">
      <alignment horizontal="center" vertical="center"/>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0" fillId="0" borderId="0" xfId="0" applyFont="1" applyAlignment="1" applyProtection="1">
      <alignment horizontal="left" vertical="center"/>
    </xf>
    <xf numFmtId="0" fontId="60" fillId="0" borderId="0" xfId="0" applyFont="1" applyAlignment="1" applyProtection="1">
      <alignment horizontal="center" vertical="center"/>
    </xf>
    <xf numFmtId="0" fontId="40" fillId="0" borderId="0" xfId="0" applyFont="1" applyAlignment="1" applyProtection="1">
      <alignment horizontal="center" vertical="center"/>
    </xf>
    <xf numFmtId="0" fontId="40" fillId="0" borderId="0" xfId="0" applyFont="1" applyAlignment="1" applyProtection="1">
      <alignment horizontal="left" vertical="center" wrapText="1"/>
    </xf>
    <xf numFmtId="58" fontId="40" fillId="0" borderId="0" xfId="0" applyNumberFormat="1" applyFont="1" applyFill="1" applyAlignment="1" applyProtection="1">
      <alignment horizontal="right" vertical="center"/>
    </xf>
    <xf numFmtId="0" fontId="59" fillId="0" borderId="0" xfId="0" applyFont="1" applyFill="1" applyAlignment="1" applyProtection="1">
      <alignment horizontal="left" vertical="center" shrinkToFit="1"/>
    </xf>
    <xf numFmtId="0" fontId="59" fillId="0" borderId="0" xfId="0" applyFont="1" applyFill="1" applyAlignment="1" applyProtection="1">
      <alignment horizontal="left" wrapText="1" shrinkToFit="1"/>
    </xf>
    <xf numFmtId="0" fontId="59" fillId="0" borderId="0" xfId="0" applyFont="1" applyFill="1" applyAlignment="1" applyProtection="1">
      <alignment horizontal="left" shrinkToFit="1"/>
    </xf>
    <xf numFmtId="0" fontId="40" fillId="0" borderId="0" xfId="0" applyFont="1" applyAlignment="1">
      <alignment horizontal="left" vertical="center"/>
    </xf>
    <xf numFmtId="0" fontId="56" fillId="0" borderId="12" xfId="0" applyFont="1" applyFill="1" applyBorder="1" applyAlignment="1" applyProtection="1">
      <alignment horizontal="left" vertical="center" wrapText="1"/>
    </xf>
    <xf numFmtId="0" fontId="56" fillId="0" borderId="11" xfId="0" applyFont="1" applyFill="1" applyBorder="1" applyAlignment="1" applyProtection="1">
      <alignment horizontal="left"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7"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56" fillId="0" borderId="0" xfId="0" applyFont="1" applyAlignment="1" applyProtection="1">
      <alignment horizontal="justify" wrapText="1"/>
    </xf>
    <xf numFmtId="0" fontId="21" fillId="0" borderId="45" xfId="0" applyFont="1" applyFill="1" applyBorder="1" applyAlignment="1" applyProtection="1">
      <alignment horizontal="left" vertical="top" wrapText="1" shrinkToFit="1"/>
    </xf>
    <xf numFmtId="0" fontId="21" fillId="0" borderId="54" xfId="0" applyFont="1" applyFill="1" applyBorder="1" applyAlignment="1" applyProtection="1">
      <alignment horizontal="left" vertical="top" wrapText="1" shrinkToFit="1"/>
    </xf>
    <xf numFmtId="0" fontId="26" fillId="0" borderId="12"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49" fontId="23" fillId="35" borderId="57" xfId="0" applyNumberFormat="1"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wrapText="1"/>
      <protection locked="0"/>
    </xf>
    <xf numFmtId="0" fontId="23" fillId="35" borderId="57"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183" fontId="30" fillId="35" borderId="30" xfId="0" applyNumberFormat="1" applyFont="1" applyFill="1" applyBorder="1" applyAlignment="1" applyProtection="1">
      <alignment horizontal="center" vertical="center" wrapText="1"/>
      <protection locked="0"/>
    </xf>
    <xf numFmtId="183" fontId="30" fillId="35" borderId="57" xfId="0" applyNumberFormat="1" applyFont="1" applyFill="1" applyBorder="1" applyAlignment="1" applyProtection="1">
      <alignment horizontal="center" vertical="center" wrapText="1"/>
      <protection locked="0"/>
    </xf>
    <xf numFmtId="183" fontId="30" fillId="35" borderId="31" xfId="0" applyNumberFormat="1"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xf>
    <xf numFmtId="0" fontId="21" fillId="0" borderId="0" xfId="0" applyFont="1" applyBorder="1" applyAlignment="1" applyProtection="1">
      <alignment horizontal="right" vertical="center" wrapText="1"/>
    </xf>
    <xf numFmtId="0" fontId="38" fillId="0" borderId="18" xfId="0" applyFont="1" applyBorder="1" applyAlignment="1" applyProtection="1">
      <alignment horizontal="center" vertical="center" textRotation="255"/>
    </xf>
    <xf numFmtId="0" fontId="38" fillId="0" borderId="19" xfId="0" applyFont="1" applyBorder="1" applyAlignment="1" applyProtection="1">
      <alignment horizontal="center" vertical="center" textRotation="255"/>
    </xf>
    <xf numFmtId="0" fontId="38" fillId="0" borderId="20" xfId="0" applyFont="1" applyBorder="1" applyAlignment="1" applyProtection="1">
      <alignment horizontal="center" vertical="center" textRotation="255"/>
    </xf>
    <xf numFmtId="0" fontId="56" fillId="0" borderId="24" xfId="0" applyFont="1" applyBorder="1" applyAlignment="1" applyProtection="1">
      <alignment horizontal="center" vertical="center" wrapText="1"/>
    </xf>
    <xf numFmtId="0" fontId="56" fillId="0" borderId="24" xfId="0" applyFont="1" applyBorder="1" applyAlignment="1" applyProtection="1">
      <alignment horizontal="center" vertical="center"/>
    </xf>
    <xf numFmtId="180" fontId="19" fillId="38" borderId="51"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180" fontId="19" fillId="38" borderId="54" xfId="0" applyNumberFormat="1" applyFont="1" applyFill="1" applyBorder="1" applyAlignment="1" applyProtection="1">
      <alignment horizontal="right" vertical="center"/>
    </xf>
    <xf numFmtId="0" fontId="61" fillId="0" borderId="23" xfId="0" applyFont="1" applyFill="1" applyBorder="1" applyAlignment="1" applyProtection="1">
      <alignment horizontal="center" vertical="center" wrapText="1"/>
    </xf>
    <xf numFmtId="0" fontId="61" fillId="0" borderId="76" xfId="0" applyFont="1" applyFill="1" applyBorder="1" applyAlignment="1" applyProtection="1">
      <alignment horizontal="center" vertical="center" wrapText="1"/>
    </xf>
    <xf numFmtId="0" fontId="55" fillId="0" borderId="24"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23" fillId="36" borderId="57"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7"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49" fontId="30" fillId="35" borderId="30" xfId="0" applyNumberFormat="1" applyFont="1" applyFill="1" applyBorder="1" applyAlignment="1" applyProtection="1">
      <alignment horizontal="center" vertical="center"/>
      <protection locked="0"/>
    </xf>
    <xf numFmtId="49" fontId="30" fillId="35" borderId="57" xfId="0" applyNumberFormat="1" applyFont="1" applyFill="1" applyBorder="1" applyAlignment="1" applyProtection="1">
      <alignment horizontal="center" vertical="center"/>
      <protection locked="0"/>
    </xf>
    <xf numFmtId="0" fontId="55" fillId="0" borderId="57" xfId="0" applyFont="1" applyFill="1" applyBorder="1" applyAlignment="1" applyProtection="1">
      <alignment horizontal="center" vertical="center" wrapText="1"/>
    </xf>
    <xf numFmtId="0" fontId="29" fillId="0" borderId="71" xfId="0" applyFont="1" applyFill="1" applyBorder="1" applyAlignment="1" applyProtection="1">
      <alignment horizontal="right" vertical="center" wrapText="1"/>
    </xf>
    <xf numFmtId="0" fontId="29" fillId="0" borderId="57" xfId="0" applyFont="1" applyFill="1" applyBorder="1" applyAlignment="1" applyProtection="1">
      <alignment horizontal="right" vertical="center" wrapText="1"/>
    </xf>
    <xf numFmtId="0" fontId="24" fillId="0" borderId="0" xfId="0" applyFont="1" applyAlignment="1" applyProtection="1">
      <alignment horizontal="justify" wrapText="1"/>
    </xf>
    <xf numFmtId="0" fontId="21" fillId="0" borderId="0" xfId="0" applyFont="1" applyFill="1" applyBorder="1" applyAlignment="1" applyProtection="1">
      <alignment horizontal="left" vertical="center" shrinkToFit="1"/>
    </xf>
    <xf numFmtId="0" fontId="30" fillId="35" borderId="73" xfId="0" applyFont="1" applyFill="1" applyBorder="1" applyAlignment="1" applyProtection="1">
      <alignment horizontal="center" vertical="center" wrapText="1"/>
      <protection locked="0"/>
    </xf>
    <xf numFmtId="0" fontId="30" fillId="35" borderId="74" xfId="0" applyFont="1" applyFill="1" applyBorder="1" applyAlignment="1" applyProtection="1">
      <alignment horizontal="center" vertical="center" wrapText="1"/>
      <protection locked="0"/>
    </xf>
    <xf numFmtId="0" fontId="30" fillId="35" borderId="75" xfId="0" applyFont="1" applyFill="1" applyBorder="1" applyAlignment="1" applyProtection="1">
      <alignment horizontal="center" vertical="center" wrapText="1"/>
      <protection locked="0"/>
    </xf>
    <xf numFmtId="0" fontId="23" fillId="0" borderId="16" xfId="0" applyFont="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9" fillId="0" borderId="24" xfId="0" applyFont="1" applyFill="1" applyBorder="1" applyAlignment="1" applyProtection="1">
      <alignment horizontal="center" vertical="center" wrapText="1" shrinkToFit="1"/>
    </xf>
    <xf numFmtId="0" fontId="49" fillId="0" borderId="23" xfId="0" applyFont="1" applyFill="1" applyBorder="1" applyAlignment="1" applyProtection="1">
      <alignment horizontal="center" vertical="center" wrapText="1" shrinkToFit="1"/>
    </xf>
    <xf numFmtId="0" fontId="55" fillId="0" borderId="77" xfId="0" applyFont="1" applyBorder="1" applyAlignment="1" applyProtection="1">
      <alignment horizontal="center" vertical="center"/>
    </xf>
    <xf numFmtId="0" fontId="55" fillId="0" borderId="59" xfId="0" applyFont="1" applyBorder="1" applyAlignment="1" applyProtection="1">
      <alignment horizontal="center" vertical="center"/>
    </xf>
    <xf numFmtId="0" fontId="55" fillId="0" borderId="60" xfId="0" applyFont="1" applyBorder="1" applyAlignment="1" applyProtection="1">
      <alignment horizontal="center" vertical="center"/>
    </xf>
    <xf numFmtId="0" fontId="24" fillId="0" borderId="24"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55" fillId="0" borderId="17" xfId="0" applyFont="1" applyBorder="1" applyAlignment="1" applyProtection="1">
      <alignment horizontal="center" vertical="center"/>
    </xf>
    <xf numFmtId="0" fontId="55" fillId="0" borderId="23" xfId="0" applyFont="1" applyBorder="1" applyAlignment="1" applyProtection="1">
      <alignment horizontal="center" vertical="center"/>
    </xf>
    <xf numFmtId="0" fontId="55" fillId="0" borderId="13" xfId="0" applyFont="1" applyBorder="1" applyAlignment="1" applyProtection="1">
      <alignment horizontal="center" vertical="center"/>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30" fillId="0" borderId="25"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55" fillId="0" borderId="17" xfId="0" applyFont="1" applyFill="1" applyBorder="1" applyAlignment="1" applyProtection="1">
      <alignment horizontal="right" vertical="center"/>
    </xf>
    <xf numFmtId="0" fontId="55" fillId="0" borderId="23" xfId="0" applyFont="1" applyFill="1" applyBorder="1" applyAlignment="1" applyProtection="1">
      <alignment horizontal="right" vertical="center"/>
    </xf>
    <xf numFmtId="0" fontId="55" fillId="0" borderId="13" xfId="0" applyFont="1" applyFill="1" applyBorder="1" applyAlignment="1" applyProtection="1">
      <alignment horizontal="right" vertical="center"/>
    </xf>
    <xf numFmtId="0" fontId="19" fillId="0" borderId="18" xfId="0" applyFont="1" applyBorder="1" applyAlignment="1" applyProtection="1">
      <alignment horizontal="right" vertical="center"/>
    </xf>
    <xf numFmtId="0" fontId="19" fillId="0" borderId="20" xfId="0" applyFont="1" applyBorder="1" applyAlignment="1" applyProtection="1">
      <alignment horizontal="right" vertical="center"/>
    </xf>
    <xf numFmtId="0" fontId="24" fillId="0" borderId="12"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38" fillId="0" borderId="10" xfId="0" applyFont="1" applyBorder="1" applyAlignment="1" applyProtection="1">
      <alignment horizontal="center" vertical="center" textRotation="255"/>
    </xf>
    <xf numFmtId="177" fontId="23" fillId="33" borderId="18" xfId="0" applyNumberFormat="1" applyFont="1" applyFill="1" applyBorder="1" applyAlignment="1" applyProtection="1">
      <alignment horizontal="center" vertical="center" wrapText="1"/>
    </xf>
    <xf numFmtId="177" fontId="23" fillId="33" borderId="20" xfId="0" applyNumberFormat="1" applyFont="1" applyFill="1" applyBorder="1" applyAlignment="1" applyProtection="1">
      <alignment horizontal="center" vertical="center" wrapText="1"/>
    </xf>
    <xf numFmtId="177" fontId="23" fillId="33" borderId="10" xfId="0" applyNumberFormat="1" applyFont="1" applyFill="1" applyBorder="1" applyAlignment="1" applyProtection="1">
      <alignment horizontal="center" vertical="center" wrapText="1"/>
    </xf>
    <xf numFmtId="177" fontId="23" fillId="33" borderId="66" xfId="0" applyNumberFormat="1" applyFont="1" applyFill="1" applyBorder="1" applyAlignment="1" applyProtection="1">
      <alignment horizontal="center" vertical="center" wrapText="1"/>
    </xf>
    <xf numFmtId="0" fontId="38" fillId="0" borderId="61" xfId="0" applyFont="1" applyFill="1" applyBorder="1" applyAlignment="1" applyProtection="1">
      <alignment horizontal="center" vertical="center" textRotation="255"/>
    </xf>
    <xf numFmtId="0" fontId="38" fillId="0" borderId="62" xfId="0" applyFont="1" applyFill="1" applyBorder="1" applyAlignment="1" applyProtection="1">
      <alignment horizontal="center" vertical="center" textRotation="255"/>
    </xf>
    <xf numFmtId="0" fontId="38" fillId="0" borderId="63" xfId="0" applyFont="1" applyFill="1" applyBorder="1" applyAlignment="1" applyProtection="1">
      <alignment horizontal="center" vertical="center" textRotation="255"/>
    </xf>
    <xf numFmtId="0" fontId="23" fillId="0" borderId="18" xfId="0"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19" fillId="0" borderId="19"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177" fontId="23" fillId="0" borderId="20" xfId="0" applyNumberFormat="1" applyFont="1" applyBorder="1" applyAlignment="1" applyProtection="1">
      <alignment horizontal="center" vertical="center" wrapText="1"/>
    </xf>
    <xf numFmtId="177" fontId="23" fillId="0" borderId="64" xfId="0" applyNumberFormat="1" applyFont="1" applyBorder="1" applyAlignment="1" applyProtection="1">
      <alignment horizontal="center" vertical="center" wrapText="1"/>
    </xf>
    <xf numFmtId="0" fontId="23" fillId="0" borderId="65" xfId="0" applyFont="1" applyBorder="1" applyAlignment="1" applyProtection="1">
      <alignment horizontal="left" vertical="center" wrapText="1"/>
    </xf>
    <xf numFmtId="0" fontId="26" fillId="0" borderId="11" xfId="0" applyFont="1" applyBorder="1" applyAlignment="1" applyProtection="1">
      <alignment horizontal="left" vertical="center" wrapText="1"/>
    </xf>
    <xf numFmtId="177" fontId="23" fillId="33" borderId="65" xfId="0" applyNumberFormat="1" applyFont="1" applyFill="1" applyBorder="1" applyAlignment="1" applyProtection="1">
      <alignment horizontal="center" vertical="center" wrapText="1"/>
    </xf>
    <xf numFmtId="177" fontId="23" fillId="33" borderId="19" xfId="0" applyNumberFormat="1" applyFont="1" applyFill="1" applyBorder="1" applyAlignment="1" applyProtection="1">
      <alignment horizontal="center" vertical="center" wrapText="1"/>
    </xf>
    <xf numFmtId="177" fontId="23" fillId="33" borderId="17" xfId="0" applyNumberFormat="1" applyFont="1" applyFill="1" applyBorder="1" applyAlignment="1" applyProtection="1">
      <alignment horizontal="center" vertical="center" wrapText="1"/>
    </xf>
    <xf numFmtId="177" fontId="30" fillId="0" borderId="65" xfId="0" applyNumberFormat="1" applyFont="1" applyBorder="1" applyAlignment="1" applyProtection="1">
      <alignment horizontal="center" vertical="center" wrapText="1"/>
    </xf>
    <xf numFmtId="177" fontId="30" fillId="0" borderId="19" xfId="0" applyNumberFormat="1" applyFont="1" applyBorder="1" applyAlignment="1" applyProtection="1">
      <alignment horizontal="center" vertical="center" wrapText="1"/>
    </xf>
    <xf numFmtId="177" fontId="30" fillId="0" borderId="20" xfId="0" applyNumberFormat="1" applyFont="1" applyBorder="1" applyAlignment="1" applyProtection="1">
      <alignment horizontal="center" vertical="center" wrapText="1"/>
    </xf>
    <xf numFmtId="0" fontId="23" fillId="35" borderId="44" xfId="0" applyFont="1" applyFill="1" applyBorder="1" applyAlignment="1" applyProtection="1">
      <alignment horizontal="center" vertical="center" shrinkToFit="1"/>
      <protection locked="0"/>
    </xf>
    <xf numFmtId="0" fontId="23" fillId="35" borderId="46" xfId="0" applyFont="1" applyFill="1" applyBorder="1" applyAlignment="1" applyProtection="1">
      <alignment horizontal="center" vertical="center" shrinkToFit="1"/>
      <protection locked="0"/>
    </xf>
    <xf numFmtId="0" fontId="26" fillId="0" borderId="66" xfId="0" applyFont="1" applyFill="1" applyBorder="1" applyAlignment="1" applyProtection="1">
      <alignment horizontal="left" vertical="center" wrapText="1"/>
    </xf>
    <xf numFmtId="0" fontId="26" fillId="0" borderId="69" xfId="0" applyFont="1" applyFill="1" applyBorder="1" applyAlignment="1" applyProtection="1">
      <alignment horizontal="left" vertical="center" wrapText="1"/>
    </xf>
    <xf numFmtId="0" fontId="27" fillId="0" borderId="18" xfId="0" applyFont="1" applyBorder="1" applyAlignment="1" applyProtection="1">
      <alignment horizontal="left" vertical="center" wrapText="1"/>
    </xf>
    <xf numFmtId="0" fontId="27" fillId="0" borderId="64" xfId="0" applyFont="1" applyBorder="1" applyAlignment="1" applyProtection="1">
      <alignment horizontal="left" vertical="center" wrapText="1"/>
    </xf>
    <xf numFmtId="0" fontId="26" fillId="0" borderId="12" xfId="0" applyFont="1" applyBorder="1" applyAlignment="1" applyProtection="1">
      <alignment horizontal="left" vertical="center"/>
    </xf>
    <xf numFmtId="0" fontId="32" fillId="0" borderId="29" xfId="0" applyFont="1" applyBorder="1" applyAlignment="1" applyProtection="1">
      <alignment horizontal="center" vertical="center"/>
    </xf>
    <xf numFmtId="0" fontId="32" fillId="0" borderId="15" xfId="0" applyFont="1" applyBorder="1" applyAlignment="1" applyProtection="1">
      <alignment horizontal="center" vertical="center"/>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2" fillId="0" borderId="0" xfId="0" applyFont="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8" fillId="0" borderId="25" xfId="0" applyFont="1" applyBorder="1" applyAlignment="1" applyProtection="1">
      <alignment horizontal="center" vertical="center" textRotation="255"/>
    </xf>
    <xf numFmtId="0" fontId="25" fillId="0" borderId="88" xfId="0" applyFont="1" applyFill="1" applyBorder="1" applyAlignment="1" applyProtection="1">
      <alignment horizontal="left" vertical="center" wrapText="1"/>
    </xf>
    <xf numFmtId="0" fontId="25" fillId="0" borderId="89"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1" fillId="35" borderId="46" xfId="0" applyFont="1" applyFill="1" applyBorder="1" applyAlignment="1" applyProtection="1">
      <alignment horizontal="left" vertical="center" wrapText="1" shrinkToFit="1"/>
      <protection locked="0"/>
    </xf>
    <xf numFmtId="49" fontId="26" fillId="35" borderId="71" xfId="0" applyNumberFormat="1" applyFont="1" applyFill="1" applyBorder="1" applyAlignment="1" applyProtection="1">
      <alignment horizontal="center" vertical="center" wrapText="1"/>
      <protection locked="0"/>
    </xf>
    <xf numFmtId="49" fontId="26" fillId="35" borderId="83" xfId="0" applyNumberFormat="1" applyFont="1" applyFill="1" applyBorder="1" applyAlignment="1" applyProtection="1">
      <alignment horizontal="center" vertical="center" wrapTex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177" fontId="26" fillId="33" borderId="18"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6" fillId="0" borderId="85" xfId="0" applyFont="1" applyBorder="1" applyAlignment="1" applyProtection="1">
      <alignment horizontal="left" vertical="center" wrapText="1"/>
    </xf>
    <xf numFmtId="0" fontId="26" fillId="0" borderId="87" xfId="0" applyFont="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24" fillId="0" borderId="55" xfId="0" applyFont="1" applyFill="1" applyBorder="1" applyAlignment="1" applyProtection="1">
      <alignment horizontal="left" vertical="center" wrapText="1"/>
    </xf>
    <xf numFmtId="0" fontId="55" fillId="0" borderId="12" xfId="0" applyFont="1" applyFill="1" applyBorder="1" applyAlignment="1" applyProtection="1">
      <alignment horizontal="left" vertical="center" wrapText="1"/>
    </xf>
    <xf numFmtId="0" fontId="55" fillId="0" borderId="55"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56" fillId="0" borderId="17" xfId="0" applyFont="1" applyFill="1" applyBorder="1" applyAlignment="1" applyProtection="1">
      <alignment horizontal="left" vertical="center" wrapText="1"/>
    </xf>
    <xf numFmtId="0" fontId="56" fillId="0" borderId="76" xfId="0" applyFont="1" applyFill="1" applyBorder="1" applyAlignment="1" applyProtection="1">
      <alignment horizontal="left" vertical="center" wrapText="1"/>
    </xf>
    <xf numFmtId="0" fontId="26" fillId="0" borderId="55" xfId="0" applyFont="1" applyFill="1" applyBorder="1" applyAlignment="1" applyProtection="1">
      <alignment horizontal="left" vertical="center" wrapText="1"/>
    </xf>
    <xf numFmtId="0" fontId="56" fillId="0" borderId="25"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6" fillId="0" borderId="68" xfId="0" applyFont="1" applyFill="1" applyBorder="1" applyAlignment="1" applyProtection="1">
      <alignment horizontal="left" vertical="center" wrapText="1"/>
    </xf>
    <xf numFmtId="0" fontId="26" fillId="0" borderId="14" xfId="0" quotePrefix="1" applyFont="1" applyBorder="1" applyAlignment="1" applyProtection="1">
      <alignment horizontal="left" vertical="center" wrapText="1"/>
    </xf>
    <xf numFmtId="0" fontId="26" fillId="0" borderId="21" xfId="0" quotePrefix="1" applyFont="1" applyBorder="1" applyAlignment="1" applyProtection="1">
      <alignment horizontal="left" vertical="center" wrapText="1"/>
    </xf>
    <xf numFmtId="0" fontId="26" fillId="0" borderId="12" xfId="0" quotePrefix="1" applyFont="1" applyBorder="1" applyAlignment="1" applyProtection="1">
      <alignment horizontal="left" vertical="center" wrapText="1"/>
    </xf>
    <xf numFmtId="0" fontId="26" fillId="0" borderId="24" xfId="0" quotePrefix="1" applyFont="1" applyBorder="1" applyAlignment="1" applyProtection="1">
      <alignment horizontal="left" vertical="center" wrapText="1"/>
    </xf>
    <xf numFmtId="0" fontId="30" fillId="35" borderId="30" xfId="0" applyFont="1" applyFill="1" applyBorder="1" applyAlignment="1" applyProtection="1">
      <alignment horizontal="center" vertical="center" wrapText="1"/>
      <protection locked="0"/>
    </xf>
    <xf numFmtId="0" fontId="30" fillId="35" borderId="57"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77" fontId="26" fillId="0" borderId="85"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19" fillId="0" borderId="0" xfId="0" applyFont="1" applyBorder="1" applyAlignment="1" applyProtection="1">
      <alignment horizontal="center" vertical="center" wrapText="1"/>
    </xf>
    <xf numFmtId="2" fontId="19" fillId="0" borderId="48" xfId="0" applyNumberFormat="1" applyFont="1" applyBorder="1" applyAlignment="1" applyProtection="1">
      <alignment horizontal="right" vertical="center"/>
    </xf>
    <xf numFmtId="2" fontId="19" fillId="0" borderId="67" xfId="0" applyNumberFormat="1" applyFont="1" applyBorder="1" applyAlignment="1" applyProtection="1">
      <alignment horizontal="right" vertical="center"/>
    </xf>
    <xf numFmtId="0" fontId="26" fillId="0" borderId="24" xfId="0" applyFont="1" applyFill="1" applyBorder="1" applyAlignment="1" applyProtection="1">
      <alignment horizontal="left" vertical="center" wrapText="1"/>
    </xf>
    <xf numFmtId="0" fontId="23" fillId="0" borderId="12" xfId="0" applyFont="1" applyFill="1" applyBorder="1" applyAlignment="1" applyProtection="1">
      <alignment horizontal="center" vertical="center" wrapText="1"/>
    </xf>
    <xf numFmtId="0" fontId="23" fillId="0" borderId="55" xfId="0" applyFont="1" applyFill="1" applyBorder="1" applyAlignment="1" applyProtection="1">
      <alignment horizontal="center" vertical="center" wrapText="1"/>
    </xf>
    <xf numFmtId="0" fontId="23" fillId="0" borderId="12" xfId="0" applyFont="1" applyFill="1" applyBorder="1" applyAlignment="1" applyProtection="1">
      <alignment horizontal="left" vertical="center" wrapText="1"/>
    </xf>
    <xf numFmtId="0" fontId="23" fillId="0" borderId="55" xfId="0" applyFont="1" applyFill="1" applyBorder="1" applyAlignment="1" applyProtection="1">
      <alignment horizontal="left" vertical="center" wrapText="1"/>
    </xf>
    <xf numFmtId="0" fontId="19" fillId="35" borderId="30" xfId="0" applyFont="1" applyFill="1" applyBorder="1" applyAlignment="1" applyProtection="1">
      <alignment horizontal="center" vertical="center"/>
      <protection locked="0"/>
    </xf>
    <xf numFmtId="0" fontId="19" fillId="35" borderId="57" xfId="0" applyFont="1" applyFill="1" applyBorder="1" applyAlignment="1" applyProtection="1">
      <alignment horizontal="center" vertical="center"/>
      <protection locked="0"/>
    </xf>
    <xf numFmtId="0" fontId="19" fillId="35" borderId="31" xfId="0" applyFont="1" applyFill="1" applyBorder="1" applyAlignment="1" applyProtection="1">
      <alignment horizontal="center" vertical="center"/>
      <protection locked="0"/>
    </xf>
    <xf numFmtId="0" fontId="24" fillId="0" borderId="24" xfId="0" applyFont="1" applyBorder="1" applyAlignment="1" applyProtection="1">
      <alignment horizontal="left" vertical="center" wrapText="1"/>
    </xf>
    <xf numFmtId="0" fontId="56" fillId="0" borderId="12" xfId="0" applyFont="1" applyBorder="1" applyAlignment="1" applyProtection="1">
      <alignment horizontal="left" vertical="center" wrapText="1"/>
    </xf>
    <xf numFmtId="0" fontId="56" fillId="0" borderId="24" xfId="0" applyFont="1" applyBorder="1" applyAlignment="1" applyProtection="1">
      <alignment horizontal="left" vertical="center" wrapText="1"/>
    </xf>
    <xf numFmtId="0" fontId="30" fillId="0" borderId="10"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3" fillId="0" borderId="24" xfId="0" applyFont="1" applyFill="1" applyBorder="1" applyAlignment="1" applyProtection="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（「除雪・維持補修業務の実績」は評価対象外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令和５年４月１日以降に入札公告された案件に適用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xdr:colOff>
      <xdr:row>4</xdr:row>
      <xdr:rowOff>0</xdr:rowOff>
    </xdr:from>
    <xdr:to>
      <xdr:col>12</xdr:col>
      <xdr:colOff>609601</xdr:colOff>
      <xdr:row>13</xdr:row>
      <xdr:rowOff>231912</xdr:rowOff>
    </xdr:to>
    <xdr:sp macro="" textlink="">
      <xdr:nvSpPr>
        <xdr:cNvPr id="2" name="テキスト ボックス 1"/>
        <xdr:cNvSpPr txBox="1"/>
      </xdr:nvSpPr>
      <xdr:spPr>
        <a:xfrm>
          <a:off x="6281531" y="185530"/>
          <a:ext cx="4923183" cy="2226365"/>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１．令和</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年</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日以降に入札公告する案件から適用する本様式において、「</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基本データ」の項目①への入力データが</a:t>
          </a:r>
          <a:r>
            <a:rPr kumimoji="1" lang="ja-JP" altLang="ja-JP" sz="14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4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２．技術提案書提出前に様式第１号へ正しく反映されているか確認してください。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24569</xdr:colOff>
      <xdr:row>0</xdr:row>
      <xdr:rowOff>0</xdr:rowOff>
    </xdr:from>
    <xdr:to>
      <xdr:col>27</xdr:col>
      <xdr:colOff>579062</xdr:colOff>
      <xdr:row>0</xdr:row>
      <xdr:rowOff>263827</xdr:rowOff>
    </xdr:to>
    <xdr:sp macro="" textlink="">
      <xdr:nvSpPr>
        <xdr:cNvPr id="112" name="テキスト ボックス 111"/>
        <xdr:cNvSpPr txBox="1"/>
      </xdr:nvSpPr>
      <xdr:spPr>
        <a:xfrm>
          <a:off x="14185069" y="0"/>
          <a:ext cx="4967743"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Ｕ列以降は、計算用なので絶対に触らないこと。</a:t>
          </a:r>
        </a:p>
      </xdr:txBody>
    </xdr:sp>
    <xdr:clientData/>
  </xdr:twoCellAnchor>
  <xdr:twoCellAnchor>
    <xdr:from>
      <xdr:col>20</xdr:col>
      <xdr:colOff>0</xdr:colOff>
      <xdr:row>2</xdr:row>
      <xdr:rowOff>0</xdr:rowOff>
    </xdr:from>
    <xdr:to>
      <xdr:col>25</xdr:col>
      <xdr:colOff>292100</xdr:colOff>
      <xdr:row>5</xdr:row>
      <xdr:rowOff>101600</xdr:rowOff>
    </xdr:to>
    <xdr:sp macro="" textlink="">
      <xdr:nvSpPr>
        <xdr:cNvPr id="4" name="テキスト ボックス 3"/>
        <xdr:cNvSpPr txBox="1"/>
      </xdr:nvSpPr>
      <xdr:spPr>
        <a:xfrm>
          <a:off x="8928100" y="317500"/>
          <a:ext cx="49530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tabSelected="1" view="pageBreakPreview" zoomScale="60" zoomScaleNormal="60" workbookViewId="0">
      <selection activeCell="D5" sqref="D5:E5"/>
    </sheetView>
  </sheetViews>
  <sheetFormatPr defaultColWidth="8.88671875" defaultRowHeight="13.2" x14ac:dyDescent="0.2"/>
  <cols>
    <col min="1" max="1" width="2" style="30" customWidth="1"/>
    <col min="2" max="2" width="2.44140625" style="30" customWidth="1"/>
    <col min="3" max="3" width="30.109375" style="30" customWidth="1"/>
    <col min="4" max="5" width="22.33203125" style="30" customWidth="1"/>
    <col min="6" max="6" width="41.77734375" style="30" customWidth="1"/>
    <col min="7" max="7" width="10.44140625" style="30" customWidth="1"/>
    <col min="8" max="8" width="39.44140625" style="30" customWidth="1"/>
    <col min="9" max="9" width="15.109375" style="30" customWidth="1"/>
    <col min="10" max="10" width="17.21875" style="30" customWidth="1"/>
    <col min="11" max="11" width="13.33203125" style="30" customWidth="1"/>
    <col min="12" max="12" width="15.33203125" style="30" customWidth="1"/>
    <col min="13" max="14" width="9.88671875" style="30" customWidth="1"/>
    <col min="15" max="15" width="27.44140625" style="30" customWidth="1"/>
    <col min="16" max="16" width="8.88671875" style="30"/>
    <col min="17" max="17" width="16.88671875" style="30" bestFit="1" customWidth="1"/>
    <col min="18" max="16384" width="8.88671875" style="30"/>
  </cols>
  <sheetData>
    <row r="1" spans="2:10" ht="19.95" customHeight="1" x14ac:dyDescent="0.2">
      <c r="C1" s="264" t="s">
        <v>247</v>
      </c>
      <c r="D1" s="264"/>
      <c r="E1" s="264"/>
      <c r="F1" s="264"/>
      <c r="H1" s="30" t="s">
        <v>391</v>
      </c>
    </row>
    <row r="2" spans="2:10" ht="19.95" customHeight="1" x14ac:dyDescent="0.2">
      <c r="C2" s="172" t="s">
        <v>328</v>
      </c>
    </row>
    <row r="3" spans="2:10" ht="19.95" customHeight="1" x14ac:dyDescent="0.2">
      <c r="B3" s="31"/>
      <c r="C3" s="171" t="s">
        <v>330</v>
      </c>
    </row>
    <row r="4" spans="2:10" ht="30" customHeight="1" x14ac:dyDescent="0.2">
      <c r="B4" s="31"/>
      <c r="C4" s="160" t="s">
        <v>312</v>
      </c>
      <c r="D4" s="256" t="s">
        <v>338</v>
      </c>
      <c r="E4" s="257"/>
      <c r="F4" s="160" t="s">
        <v>306</v>
      </c>
      <c r="H4" s="187" t="s">
        <v>337</v>
      </c>
    </row>
    <row r="5" spans="2:10" ht="30" customHeight="1" x14ac:dyDescent="0.2">
      <c r="B5" s="31"/>
      <c r="C5" s="174" t="s">
        <v>300</v>
      </c>
      <c r="D5" s="258" t="s">
        <v>307</v>
      </c>
      <c r="E5" s="259"/>
      <c r="F5" s="158" t="s">
        <v>332</v>
      </c>
      <c r="H5" s="13" t="str">
        <f t="shared" ref="H5:H10" si="0">D5</f>
        <v>令和○年○月○日</v>
      </c>
    </row>
    <row r="6" spans="2:10" ht="30" customHeight="1" x14ac:dyDescent="0.2">
      <c r="B6" s="31"/>
      <c r="C6" s="60" t="s">
        <v>301</v>
      </c>
      <c r="D6" s="260" t="s">
        <v>331</v>
      </c>
      <c r="E6" s="261"/>
      <c r="F6" s="60" t="s">
        <v>309</v>
      </c>
      <c r="H6" s="13" t="str">
        <f t="shared" si="0"/>
        <v>○○市○○町○○番地</v>
      </c>
    </row>
    <row r="7" spans="2:10" ht="30" customHeight="1" x14ac:dyDescent="0.2">
      <c r="B7" s="31"/>
      <c r="C7" s="60" t="s">
        <v>302</v>
      </c>
      <c r="D7" s="262" t="s">
        <v>293</v>
      </c>
      <c r="E7" s="263"/>
      <c r="F7" s="60" t="s">
        <v>314</v>
      </c>
      <c r="H7" s="13" t="str">
        <f t="shared" si="0"/>
        <v>株式会社○○○○</v>
      </c>
    </row>
    <row r="8" spans="2:10" ht="30" customHeight="1" x14ac:dyDescent="0.2">
      <c r="B8" s="31"/>
      <c r="C8" s="60" t="s">
        <v>303</v>
      </c>
      <c r="D8" s="260" t="s">
        <v>310</v>
      </c>
      <c r="E8" s="261"/>
      <c r="F8" s="60" t="s">
        <v>314</v>
      </c>
      <c r="H8" s="13" t="str">
        <f t="shared" si="0"/>
        <v>代表取締役　○○○○</v>
      </c>
    </row>
    <row r="9" spans="2:10" ht="30" customHeight="1" x14ac:dyDescent="0.2">
      <c r="B9" s="31"/>
      <c r="C9" s="60" t="s">
        <v>304</v>
      </c>
      <c r="D9" s="260" t="s">
        <v>329</v>
      </c>
      <c r="E9" s="261"/>
      <c r="F9" s="60" t="s">
        <v>314</v>
      </c>
      <c r="H9" s="13" t="str">
        <f t="shared" si="0"/>
        <v>000-000-0000</v>
      </c>
    </row>
    <row r="10" spans="2:10" ht="30" customHeight="1" x14ac:dyDescent="0.2">
      <c r="B10" s="31"/>
      <c r="C10" s="60" t="s">
        <v>305</v>
      </c>
      <c r="D10" s="260" t="s">
        <v>311</v>
      </c>
      <c r="E10" s="261"/>
      <c r="F10" s="60" t="s">
        <v>314</v>
      </c>
      <c r="H10" s="13" t="str">
        <f t="shared" si="0"/>
        <v>○○○○</v>
      </c>
    </row>
    <row r="11" spans="2:10" ht="30" customHeight="1" x14ac:dyDescent="0.2">
      <c r="B11" s="31"/>
      <c r="C11" s="60" t="s">
        <v>308</v>
      </c>
      <c r="D11" s="260" t="s">
        <v>344</v>
      </c>
      <c r="E11" s="261"/>
      <c r="F11" s="186" t="s">
        <v>336</v>
      </c>
      <c r="H11" s="13" t="str">
        <f>D11</f>
        <v>○○・△△特定建設工事共同企業体</v>
      </c>
    </row>
    <row r="12" spans="2:10" s="12" customFormat="1" ht="30" customHeight="1" x14ac:dyDescent="0.2">
      <c r="C12" s="160" t="s">
        <v>313</v>
      </c>
      <c r="D12" s="256" t="s">
        <v>339</v>
      </c>
      <c r="E12" s="257"/>
      <c r="F12" s="160" t="s">
        <v>137</v>
      </c>
      <c r="H12" s="187" t="s">
        <v>342</v>
      </c>
    </row>
    <row r="13" spans="2:10" s="32" customFormat="1" ht="30" customHeight="1" x14ac:dyDescent="0.2">
      <c r="C13" s="173" t="s">
        <v>136</v>
      </c>
      <c r="D13" s="258" t="s">
        <v>307</v>
      </c>
      <c r="E13" s="259"/>
      <c r="F13" s="157" t="s">
        <v>333</v>
      </c>
      <c r="G13" s="34"/>
      <c r="H13" s="13" t="str">
        <f t="shared" ref="H13:H15" si="1">D13</f>
        <v>令和○年○月○日</v>
      </c>
      <c r="I13" s="14"/>
      <c r="J13" s="14"/>
    </row>
    <row r="14" spans="2:10" s="32" customFormat="1" ht="30" customHeight="1" x14ac:dyDescent="0.2">
      <c r="C14" s="33" t="s">
        <v>134</v>
      </c>
      <c r="D14" s="267" t="s">
        <v>248</v>
      </c>
      <c r="E14" s="268"/>
      <c r="F14" s="13"/>
      <c r="G14" s="34"/>
      <c r="H14" s="13" t="str">
        <f>D14</f>
        <v xml:space="preserve">第○○-○○○○○-○○○○号 </v>
      </c>
      <c r="I14" s="14"/>
      <c r="J14" s="14"/>
    </row>
    <row r="15" spans="2:10" s="32" customFormat="1" ht="30" customHeight="1" x14ac:dyDescent="0.2">
      <c r="C15" s="35" t="s">
        <v>135</v>
      </c>
      <c r="D15" s="271" t="s">
        <v>335</v>
      </c>
      <c r="E15" s="272"/>
      <c r="F15" s="13"/>
      <c r="G15" s="34"/>
      <c r="H15" s="13" t="str">
        <f t="shared" si="1"/>
        <v>○○○○○○○○○○○○工事</v>
      </c>
      <c r="I15" s="14"/>
      <c r="J15" s="14"/>
    </row>
    <row r="16" spans="2:10" s="12" customFormat="1" ht="30" customHeight="1" x14ac:dyDescent="0.2">
      <c r="C16" s="36" t="s">
        <v>242</v>
      </c>
      <c r="D16" s="269"/>
      <c r="E16" s="270"/>
      <c r="F16" s="188" t="s">
        <v>340</v>
      </c>
      <c r="H16" s="15">
        <f>IF(OR(D16="一般土木工事",D16="舗装工事"),1,10)</f>
        <v>10</v>
      </c>
      <c r="I16" s="12" t="s">
        <v>207</v>
      </c>
    </row>
    <row r="17" spans="3:9" s="12" customFormat="1" ht="30" customHeight="1" x14ac:dyDescent="0.2">
      <c r="C17" s="35" t="s">
        <v>197</v>
      </c>
      <c r="D17" s="262"/>
      <c r="E17" s="263"/>
      <c r="F17" s="188"/>
      <c r="H17" s="15" t="e">
        <f>VLOOKUP(D17,リスト2!G3:I6,3,FALSE)</f>
        <v>#N/A</v>
      </c>
      <c r="I17" s="12" t="s">
        <v>235</v>
      </c>
    </row>
    <row r="18" spans="3:9" s="12" customFormat="1" ht="30" customHeight="1" x14ac:dyDescent="0.2">
      <c r="C18" s="265" t="s">
        <v>243</v>
      </c>
      <c r="D18" s="37" t="s">
        <v>124</v>
      </c>
      <c r="E18" s="37" t="s">
        <v>130</v>
      </c>
      <c r="F18" s="265" t="s">
        <v>341</v>
      </c>
    </row>
    <row r="19" spans="3:9" s="12" customFormat="1" ht="30" customHeight="1" x14ac:dyDescent="0.2">
      <c r="C19" s="266"/>
      <c r="D19" s="159" t="s">
        <v>174</v>
      </c>
      <c r="E19" s="159" t="s">
        <v>174</v>
      </c>
      <c r="F19" s="266"/>
    </row>
    <row r="20" spans="3:9" s="12" customFormat="1" ht="30" customHeight="1" x14ac:dyDescent="0.2">
      <c r="C20" s="38" t="s">
        <v>132</v>
      </c>
      <c r="D20" s="39" t="str">
        <f>VLOOKUP(D19,リスト2!$C$3:$E$64,2,FALSE)</f>
        <v>-</v>
      </c>
      <c r="E20" s="39" t="str">
        <f>VLOOKUP(E19,リスト2!$C$3:$E$64,2,FALSE)</f>
        <v>-</v>
      </c>
      <c r="F20" s="39" t="s">
        <v>241</v>
      </c>
    </row>
    <row r="21" spans="3:9" s="12" customFormat="1" ht="30" customHeight="1" x14ac:dyDescent="0.2">
      <c r="C21" s="38" t="s">
        <v>133</v>
      </c>
      <c r="D21" s="39" t="str">
        <f>VLOOKUP(D19,リスト2!$C$3:$E$64,3,FALSE)</f>
        <v>-</v>
      </c>
      <c r="E21" s="39" t="str">
        <f>VLOOKUP(E19,リスト2!$C$3:$E$64,3,FALSE)</f>
        <v>-</v>
      </c>
      <c r="F21" s="39" t="s">
        <v>131</v>
      </c>
    </row>
    <row r="22" spans="3:9" s="12" customFormat="1" ht="30" customHeight="1" x14ac:dyDescent="0.2">
      <c r="F22" s="162" t="s">
        <v>240</v>
      </c>
    </row>
    <row r="23" spans="3:9" s="12" customFormat="1" ht="30" customHeight="1" x14ac:dyDescent="0.2">
      <c r="C23" s="39" t="s">
        <v>128</v>
      </c>
      <c r="D23" s="40" t="e">
        <f>'3.様式第11号-1(特別簡易型)'!S1</f>
        <v>#N/A</v>
      </c>
      <c r="E23" s="39" t="s">
        <v>129</v>
      </c>
      <c r="F23" s="161" t="s">
        <v>315</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AA7A"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Normal="100" zoomScaleSheetLayoutView="100" workbookViewId="0">
      <selection activeCell="C10" sqref="C10:D10"/>
    </sheetView>
  </sheetViews>
  <sheetFormatPr defaultColWidth="9" defaultRowHeight="13.2" x14ac:dyDescent="0.2"/>
  <cols>
    <col min="1" max="1" width="33.6640625" style="17" customWidth="1"/>
    <col min="2" max="2" width="15.6640625" style="17" customWidth="1"/>
    <col min="3" max="3" width="29.6640625" style="17" customWidth="1"/>
    <col min="4" max="4" width="3.6640625" style="17" customWidth="1"/>
    <col min="5" max="16384" width="9" style="17"/>
  </cols>
  <sheetData>
    <row r="1" spans="1:8" x14ac:dyDescent="0.2">
      <c r="D1" s="248" t="str">
        <f>'1.基本データ(このシートは削除しないこと！)'!H1</f>
        <v>令和5年度様式（令和5年4月1日以降の入札公告から適用）</v>
      </c>
    </row>
    <row r="2" spans="1:8" x14ac:dyDescent="0.2">
      <c r="D2" s="247"/>
    </row>
    <row r="3" spans="1:8" x14ac:dyDescent="0.2">
      <c r="D3" s="247"/>
    </row>
    <row r="4" spans="1:8" ht="14.4" x14ac:dyDescent="0.2">
      <c r="A4" s="273" t="s">
        <v>249</v>
      </c>
      <c r="B4" s="273"/>
      <c r="C4" s="273"/>
      <c r="D4" s="273"/>
    </row>
    <row r="5" spans="1:8" ht="21" x14ac:dyDescent="0.2">
      <c r="A5" s="274" t="s">
        <v>5</v>
      </c>
      <c r="B5" s="274"/>
      <c r="C5" s="274"/>
      <c r="D5" s="274"/>
    </row>
    <row r="6" spans="1:8" ht="13.5" customHeight="1" x14ac:dyDescent="0.2">
      <c r="A6" s="197"/>
      <c r="B6" s="197"/>
      <c r="C6" s="277" t="str">
        <f>'1.基本データ(このシートは削除しないこと！)'!H5</f>
        <v>令和○年○月○日</v>
      </c>
      <c r="D6" s="277"/>
    </row>
    <row r="7" spans="1:8" ht="14.4" x14ac:dyDescent="0.2">
      <c r="A7" s="198"/>
      <c r="B7" s="198"/>
      <c r="C7" s="197"/>
      <c r="D7" s="197"/>
    </row>
    <row r="8" spans="1:8" ht="14.4" x14ac:dyDescent="0.2">
      <c r="A8" s="273" t="s">
        <v>18</v>
      </c>
      <c r="B8" s="273"/>
      <c r="C8" s="273"/>
      <c r="D8" s="273"/>
    </row>
    <row r="9" spans="1:8" ht="14.4" x14ac:dyDescent="0.2">
      <c r="A9" s="198"/>
      <c r="B9" s="198"/>
      <c r="C9" s="197"/>
      <c r="D9" s="197"/>
    </row>
    <row r="10" spans="1:8" ht="20.100000000000001" customHeight="1" x14ac:dyDescent="0.2">
      <c r="A10" s="198"/>
      <c r="B10" s="197"/>
      <c r="C10" s="278" t="str">
        <f>IF('1.基本データ(このシートは削除しないこと！)'!H11=0,"",'1.基本データ(このシートは削除しないこと！)'!H11)</f>
        <v>○○・△△特定建設工事共同企業体</v>
      </c>
      <c r="D10" s="278"/>
    </row>
    <row r="11" spans="1:8" ht="20.100000000000001" customHeight="1" x14ac:dyDescent="0.2">
      <c r="A11" s="198"/>
      <c r="B11" s="199" t="str">
        <f>IF('1.基本データ(このシートは削除しないこと！)'!H11=0," ","代表構成員")</f>
        <v>代表構成員</v>
      </c>
      <c r="C11" s="279" t="str">
        <f>'1.基本データ(このシートは削除しないこと！)'!H6</f>
        <v>○○市○○町○○番地</v>
      </c>
      <c r="D11" s="279"/>
    </row>
    <row r="12" spans="1:8" ht="20.100000000000001" customHeight="1" x14ac:dyDescent="0.2">
      <c r="A12" s="197"/>
      <c r="B12" s="200" t="s">
        <v>6</v>
      </c>
      <c r="C12" s="279"/>
      <c r="D12" s="279"/>
    </row>
    <row r="13" spans="1:8" ht="20.100000000000001" customHeight="1" x14ac:dyDescent="0.2">
      <c r="A13" s="197"/>
      <c r="B13" s="201" t="s">
        <v>7</v>
      </c>
      <c r="C13" s="280" t="str">
        <f>'1.基本データ(このシートは削除しないこと！)'!H7</f>
        <v>株式会社○○○○</v>
      </c>
      <c r="D13" s="280"/>
    </row>
    <row r="14" spans="1:8" ht="20.100000000000001" customHeight="1" x14ac:dyDescent="0.2">
      <c r="A14" s="197"/>
      <c r="B14" s="201" t="s">
        <v>16</v>
      </c>
      <c r="C14" s="280" t="str">
        <f>'1.基本データ(このシートは削除しないこと！)'!H8</f>
        <v>代表取締役　○○○○</v>
      </c>
      <c r="D14" s="280"/>
    </row>
    <row r="15" spans="1:8" ht="20.100000000000001" customHeight="1" x14ac:dyDescent="0.2">
      <c r="A15" s="197"/>
      <c r="B15" s="251"/>
      <c r="C15" s="196"/>
      <c r="D15" s="197"/>
    </row>
    <row r="16" spans="1:8" ht="20.100000000000001" customHeight="1" x14ac:dyDescent="0.2">
      <c r="A16" s="197"/>
      <c r="B16" s="251" t="s">
        <v>8</v>
      </c>
      <c r="C16" s="196" t="str">
        <f>'1.基本データ(このシートは削除しないこと！)'!H9</f>
        <v>000-000-0000</v>
      </c>
      <c r="D16" s="197"/>
      <c r="G16" s="18"/>
      <c r="H16" s="18"/>
    </row>
    <row r="17" spans="1:9" ht="20.100000000000001" customHeight="1" x14ac:dyDescent="0.2">
      <c r="A17" s="197"/>
      <c r="B17" s="251" t="s">
        <v>17</v>
      </c>
      <c r="C17" s="196" t="str">
        <f>'1.基本データ(このシートは削除しないこと！)'!H10</f>
        <v>○○○○</v>
      </c>
      <c r="D17" s="197" t="s">
        <v>15</v>
      </c>
    </row>
    <row r="18" spans="1:9" ht="14.4" x14ac:dyDescent="0.2">
      <c r="A18" s="198"/>
      <c r="B18" s="198"/>
      <c r="C18" s="197"/>
      <c r="D18" s="197"/>
    </row>
    <row r="19" spans="1:9" ht="83.25" customHeight="1" x14ac:dyDescent="0.2">
      <c r="A19" s="276"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B19" s="276"/>
      <c r="C19" s="276"/>
      <c r="D19" s="276"/>
      <c r="I19" s="18"/>
    </row>
    <row r="20" spans="1:9" ht="14.25" customHeight="1" x14ac:dyDescent="0.2">
      <c r="A20" s="275" t="s">
        <v>9</v>
      </c>
      <c r="B20" s="275"/>
      <c r="C20" s="275"/>
      <c r="D20" s="275"/>
    </row>
    <row r="21" spans="1:9" ht="19.95" customHeight="1" x14ac:dyDescent="0.2">
      <c r="A21" s="273" t="s">
        <v>251</v>
      </c>
      <c r="B21" s="273"/>
      <c r="C21" s="273"/>
      <c r="D21" s="273"/>
    </row>
    <row r="22" spans="1:9" ht="19.95" customHeight="1" x14ac:dyDescent="0.2">
      <c r="A22" s="273" t="s">
        <v>289</v>
      </c>
      <c r="B22" s="273"/>
      <c r="C22" s="273"/>
      <c r="D22" s="273"/>
    </row>
    <row r="23" spans="1:9" ht="19.95" customHeight="1" x14ac:dyDescent="0.2">
      <c r="A23" s="273" t="s">
        <v>316</v>
      </c>
      <c r="B23" s="273"/>
      <c r="C23" s="273"/>
      <c r="D23" s="273"/>
    </row>
    <row r="24" spans="1:9" ht="14.25" customHeight="1" x14ac:dyDescent="0.2">
      <c r="A24" s="251"/>
      <c r="B24" s="251"/>
      <c r="C24" s="251"/>
      <c r="D24" s="251"/>
    </row>
    <row r="25" spans="1:9" ht="19.95" customHeight="1" x14ac:dyDescent="0.2">
      <c r="A25" s="273" t="s">
        <v>252</v>
      </c>
      <c r="B25" s="273"/>
      <c r="C25" s="273"/>
      <c r="D25" s="273"/>
    </row>
    <row r="26" spans="1:9" ht="19.95" customHeight="1" x14ac:dyDescent="0.2">
      <c r="A26" s="273" t="s">
        <v>250</v>
      </c>
      <c r="B26" s="273"/>
      <c r="C26" s="273"/>
      <c r="D26" s="273"/>
    </row>
    <row r="27" spans="1:9" ht="19.95" customHeight="1" x14ac:dyDescent="0.2">
      <c r="A27" s="273" t="s">
        <v>317</v>
      </c>
      <c r="B27" s="273"/>
      <c r="C27" s="273"/>
      <c r="D27" s="273"/>
    </row>
    <row r="28" spans="1:9" ht="14.25" customHeight="1" x14ac:dyDescent="0.2">
      <c r="A28" s="273"/>
      <c r="B28" s="273"/>
      <c r="C28" s="273"/>
      <c r="D28" s="273"/>
    </row>
    <row r="29" spans="1:9" ht="19.95" customHeight="1" x14ac:dyDescent="0.2">
      <c r="A29" s="273" t="s">
        <v>253</v>
      </c>
      <c r="B29" s="273"/>
      <c r="C29" s="273"/>
      <c r="D29" s="273"/>
    </row>
    <row r="30" spans="1:9" ht="19.95" customHeight="1" x14ac:dyDescent="0.2">
      <c r="A30" s="273" t="s">
        <v>10</v>
      </c>
      <c r="B30" s="273"/>
      <c r="C30" s="273"/>
      <c r="D30" s="273"/>
    </row>
    <row r="31" spans="1:9" ht="19.95" customHeight="1" x14ac:dyDescent="0.2">
      <c r="A31" s="273" t="s">
        <v>11</v>
      </c>
      <c r="B31" s="273"/>
      <c r="C31" s="273"/>
      <c r="D31" s="273"/>
    </row>
    <row r="32" spans="1:9" ht="19.95" customHeight="1" x14ac:dyDescent="0.2">
      <c r="A32" s="273" t="s">
        <v>12</v>
      </c>
      <c r="B32" s="273"/>
      <c r="C32" s="273"/>
      <c r="D32" s="273"/>
    </row>
    <row r="33" spans="1:4" ht="19.95" customHeight="1" x14ac:dyDescent="0.2">
      <c r="A33" s="273" t="s">
        <v>13</v>
      </c>
      <c r="B33" s="273"/>
      <c r="C33" s="273"/>
      <c r="D33" s="273"/>
    </row>
    <row r="34" spans="1:4" ht="14.25" customHeight="1" x14ac:dyDescent="0.2">
      <c r="A34" s="273"/>
      <c r="B34" s="273"/>
      <c r="C34" s="273"/>
      <c r="D34" s="273"/>
    </row>
    <row r="35" spans="1:4" ht="19.95" customHeight="1" x14ac:dyDescent="0.2">
      <c r="A35" s="273" t="s">
        <v>254</v>
      </c>
      <c r="B35" s="273"/>
      <c r="C35" s="273"/>
      <c r="D35" s="273"/>
    </row>
    <row r="36" spans="1:4" ht="19.95" customHeight="1" x14ac:dyDescent="0.2">
      <c r="A36" s="273" t="s">
        <v>10</v>
      </c>
      <c r="B36" s="273"/>
      <c r="C36" s="273"/>
      <c r="D36" s="273"/>
    </row>
    <row r="37" spans="1:4" ht="19.95" customHeight="1" x14ac:dyDescent="0.2">
      <c r="A37" s="273" t="s">
        <v>11</v>
      </c>
      <c r="B37" s="273"/>
      <c r="C37" s="273"/>
      <c r="D37" s="273"/>
    </row>
    <row r="38" spans="1:4" ht="19.95" customHeight="1" x14ac:dyDescent="0.2">
      <c r="A38" s="273" t="s">
        <v>12</v>
      </c>
      <c r="B38" s="273"/>
      <c r="C38" s="273"/>
      <c r="D38" s="273"/>
    </row>
    <row r="39" spans="1:4" ht="19.95" customHeight="1" x14ac:dyDescent="0.2">
      <c r="A39" s="273" t="s">
        <v>13</v>
      </c>
      <c r="B39" s="273"/>
      <c r="C39" s="273"/>
      <c r="D39" s="273"/>
    </row>
    <row r="40" spans="1:4" ht="19.95" customHeight="1" x14ac:dyDescent="0.2">
      <c r="A40" s="273" t="s">
        <v>14</v>
      </c>
      <c r="B40" s="273"/>
      <c r="C40" s="273"/>
      <c r="D40" s="273"/>
    </row>
    <row r="41" spans="1:4" ht="19.95" customHeight="1" x14ac:dyDescent="0.2">
      <c r="A41" s="273"/>
      <c r="B41" s="273"/>
      <c r="C41" s="273"/>
      <c r="D41" s="273"/>
    </row>
    <row r="42" spans="1:4" ht="19.95" customHeight="1" x14ac:dyDescent="0.2">
      <c r="A42" s="281"/>
      <c r="B42" s="281"/>
      <c r="C42" s="281"/>
      <c r="D42" s="281"/>
    </row>
  </sheetData>
  <sheetProtection password="AA7A" sheet="1" objects="1" scenarios="1"/>
  <mergeCells count="31">
    <mergeCell ref="A40:D40"/>
    <mergeCell ref="A41:D41"/>
    <mergeCell ref="A42:D42"/>
    <mergeCell ref="A38:D38"/>
    <mergeCell ref="A26:D26"/>
    <mergeCell ref="A22:D22"/>
    <mergeCell ref="A23:D23"/>
    <mergeCell ref="A25:D25"/>
    <mergeCell ref="A39:D39"/>
    <mergeCell ref="A36:D36"/>
    <mergeCell ref="A37:D37"/>
    <mergeCell ref="A27:D27"/>
    <mergeCell ref="A28:D28"/>
    <mergeCell ref="A29:D29"/>
    <mergeCell ref="A30:D30"/>
    <mergeCell ref="A31:D31"/>
    <mergeCell ref="A32:D32"/>
    <mergeCell ref="A33:D33"/>
    <mergeCell ref="A34:D34"/>
    <mergeCell ref="A35:D35"/>
    <mergeCell ref="A4:D4"/>
    <mergeCell ref="A5:D5"/>
    <mergeCell ref="A8:D8"/>
    <mergeCell ref="A20:D20"/>
    <mergeCell ref="A21:D21"/>
    <mergeCell ref="A19:D19"/>
    <mergeCell ref="C6:D6"/>
    <mergeCell ref="C10:D10"/>
    <mergeCell ref="C11:D12"/>
    <mergeCell ref="C13:D13"/>
    <mergeCell ref="C14:D14"/>
  </mergeCells>
  <phoneticPr fontId="36"/>
  <printOptions horizontalCentered="1" verticalCentered="1"/>
  <pageMargins left="0.9055118110236221" right="0.9055118110236221" top="0.15748031496062992" bottom="0.55118110236220474" header="0.31496062992125984" footer="0.31496062992125984"/>
  <pageSetup paperSize="9" orientation="portrait" r:id="rId1"/>
  <headerFooter alignWithMargins="0">
    <oddHeader>&amp;R&amp;"ＭＳ ゴシック,標準"&amp;9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0"/>
  <sheetViews>
    <sheetView showGridLines="0" view="pageBreakPreview" zoomScale="60" zoomScaleNormal="60" workbookViewId="0">
      <pane ySplit="1" topLeftCell="A2" activePane="bottomLeft" state="frozen"/>
      <selection pane="bottomLeft" activeCell="Y27" sqref="Y27"/>
    </sheetView>
  </sheetViews>
  <sheetFormatPr defaultColWidth="8.88671875" defaultRowHeight="13.2" x14ac:dyDescent="0.2"/>
  <cols>
    <col min="1" max="1" width="2" style="30" customWidth="1"/>
    <col min="2" max="3" width="3.44140625" style="30" customWidth="1"/>
    <col min="4" max="4" width="13" style="30" customWidth="1"/>
    <col min="5" max="6" width="7.21875" style="30" customWidth="1"/>
    <col min="7" max="7" width="19.21875" style="30" customWidth="1"/>
    <col min="8" max="8" width="4.44140625" style="30" customWidth="1"/>
    <col min="9" max="9" width="3.44140625" style="30" customWidth="1"/>
    <col min="10" max="10" width="4.21875" style="30" customWidth="1"/>
    <col min="11" max="17" width="3.44140625" style="30" customWidth="1"/>
    <col min="18" max="18" width="11.88671875" style="30" customWidth="1"/>
    <col min="19" max="19" width="16.6640625" style="30" customWidth="1"/>
    <col min="20" max="21" width="9" style="30" customWidth="1"/>
    <col min="22" max="22" width="25" style="30" customWidth="1"/>
    <col min="23" max="23" width="10.6640625" style="30" customWidth="1"/>
    <col min="24" max="24" width="14" style="30" customWidth="1"/>
    <col min="25" max="26" width="9" style="30" customWidth="1"/>
    <col min="27" max="29" width="9.44140625" style="30" customWidth="1"/>
    <col min="30" max="30" width="10.33203125" style="30" customWidth="1"/>
    <col min="31" max="31" width="11.6640625" style="30" customWidth="1"/>
    <col min="32" max="32" width="11.77734375" style="30" customWidth="1"/>
    <col min="33" max="33" width="9.44140625" style="30" customWidth="1"/>
    <col min="34" max="34" width="12.88671875" style="30" customWidth="1"/>
    <col min="35" max="35" width="8.88671875" style="30"/>
    <col min="36" max="36" width="12.88671875" style="30" customWidth="1"/>
    <col min="37" max="37" width="12.77734375" style="30" customWidth="1"/>
    <col min="38" max="38" width="12.21875" style="30" customWidth="1"/>
    <col min="39" max="39" width="11.44140625" style="30" customWidth="1"/>
    <col min="40" max="41" width="8.88671875" style="30"/>
    <col min="42" max="42" width="11.6640625" style="30" customWidth="1"/>
    <col min="43" max="43" width="12.109375" style="30" customWidth="1"/>
    <col min="44" max="44" width="11.21875" style="30" customWidth="1"/>
    <col min="45" max="45" width="12.33203125" style="30" customWidth="1"/>
    <col min="46" max="16384" width="8.88671875" style="30"/>
  </cols>
  <sheetData>
    <row r="1" spans="1:42" ht="24.75" customHeight="1" thickTop="1" thickBot="1" x14ac:dyDescent="0.25">
      <c r="A1" s="44"/>
      <c r="B1" s="45"/>
      <c r="C1" s="45"/>
      <c r="D1" s="46"/>
      <c r="E1" s="46"/>
      <c r="F1" s="46"/>
      <c r="G1" s="46"/>
      <c r="H1" s="46"/>
      <c r="I1" s="46"/>
      <c r="J1" s="46"/>
      <c r="K1" s="46"/>
      <c r="L1" s="46"/>
      <c r="M1" s="46"/>
      <c r="N1" s="46"/>
      <c r="O1" s="46"/>
      <c r="P1" s="46"/>
      <c r="Q1" s="396" t="s">
        <v>2</v>
      </c>
      <c r="R1" s="397"/>
      <c r="S1" s="47" t="e">
        <f>SUM(F7:F54)</f>
        <v>#N/A</v>
      </c>
    </row>
    <row r="2" spans="1:42" ht="30" customHeight="1" thickTop="1" x14ac:dyDescent="0.2">
      <c r="A2" s="44"/>
      <c r="B2" s="45"/>
      <c r="C2" s="45"/>
      <c r="D2" s="46"/>
      <c r="E2" s="46"/>
      <c r="F2" s="46"/>
      <c r="G2" s="46"/>
      <c r="H2" s="46"/>
      <c r="I2" s="46"/>
      <c r="J2" s="46"/>
      <c r="K2" s="46"/>
      <c r="L2" s="46"/>
      <c r="M2" s="46"/>
      <c r="N2" s="46"/>
      <c r="O2" s="46"/>
      <c r="P2" s="46"/>
      <c r="Q2" s="249"/>
      <c r="R2" s="249"/>
      <c r="S2" s="250" t="str">
        <f>'1.基本データ(このシートは削除しないこと！)'!H1</f>
        <v>令和5年度様式（令和5年4月1日以降の入札公告から適用）</v>
      </c>
    </row>
    <row r="3" spans="1:42" ht="14.25" customHeight="1" x14ac:dyDescent="0.2">
      <c r="A3" s="48"/>
      <c r="B3" s="400" t="s">
        <v>255</v>
      </c>
      <c r="C3" s="400"/>
      <c r="D3" s="400"/>
      <c r="E3" s="400"/>
      <c r="F3" s="400"/>
      <c r="G3" s="400"/>
      <c r="H3" s="400"/>
      <c r="I3" s="191"/>
      <c r="J3" s="191"/>
      <c r="K3" s="191"/>
      <c r="L3" s="191"/>
      <c r="M3" s="191"/>
      <c r="N3" s="191"/>
      <c r="O3" s="191"/>
      <c r="P3" s="191"/>
      <c r="Q3" s="49"/>
      <c r="S3" s="50" t="s">
        <v>245</v>
      </c>
    </row>
    <row r="4" spans="1:42" ht="16.5" customHeight="1" x14ac:dyDescent="0.2">
      <c r="A4" s="48"/>
      <c r="B4" s="300" t="s">
        <v>145</v>
      </c>
      <c r="C4" s="300"/>
      <c r="D4" s="300"/>
      <c r="E4" s="324" t="str">
        <f>'1.基本データ(このシートは削除しないこと！)'!H14&amp;'1.基本データ(このシートは削除しないこと！)'!H15</f>
        <v>第○○-○○○○○-○○○○号 ○○○○○○○○○○○○工事</v>
      </c>
      <c r="F4" s="324"/>
      <c r="G4" s="324"/>
      <c r="H4" s="324"/>
      <c r="I4" s="324"/>
      <c r="J4" s="324"/>
      <c r="K4" s="324"/>
      <c r="L4" s="324"/>
      <c r="M4" s="324"/>
      <c r="N4" s="324"/>
      <c r="O4" s="324"/>
      <c r="P4" s="324"/>
      <c r="Q4" s="324"/>
      <c r="R4" s="324"/>
    </row>
    <row r="5" spans="1:42" ht="16.5" customHeight="1" thickBot="1" x14ac:dyDescent="0.25">
      <c r="A5" s="48"/>
      <c r="B5" s="51"/>
      <c r="C5" s="51"/>
      <c r="D5" s="52" t="s">
        <v>146</v>
      </c>
      <c r="E5" s="53" t="str">
        <f>IF('1.基本データ(このシートは削除しないこと！)'!H11=0,'1.基本データ(このシートは削除しないこと！)'!H7,'1.基本データ(このシートは削除しないこと！)'!H11)</f>
        <v>○○・△△特定建設工事共同企業体</v>
      </c>
      <c r="F5" s="48"/>
      <c r="G5" s="48"/>
      <c r="H5" s="48"/>
      <c r="I5" s="48"/>
      <c r="J5" s="48"/>
      <c r="K5" s="48"/>
      <c r="L5" s="48"/>
      <c r="M5" s="48"/>
      <c r="N5" s="48"/>
      <c r="O5" s="48"/>
      <c r="P5" s="48"/>
      <c r="Q5" s="48"/>
      <c r="R5" s="48"/>
      <c r="S5" s="48"/>
    </row>
    <row r="6" spans="1:42" ht="22.5" customHeight="1" thickBot="1" x14ac:dyDescent="0.25">
      <c r="A6" s="48"/>
      <c r="B6" s="398" t="s">
        <v>368</v>
      </c>
      <c r="C6" s="398"/>
      <c r="D6" s="398"/>
      <c r="E6" s="54" t="s">
        <v>175</v>
      </c>
      <c r="F6" s="55" t="s">
        <v>1</v>
      </c>
      <c r="G6" s="442" t="s">
        <v>347</v>
      </c>
      <c r="H6" s="443"/>
      <c r="I6" s="443"/>
      <c r="J6" s="443"/>
      <c r="K6" s="443"/>
      <c r="L6" s="443"/>
      <c r="M6" s="443"/>
      <c r="N6" s="443"/>
      <c r="O6" s="443"/>
      <c r="P6" s="443"/>
      <c r="Q6" s="443"/>
      <c r="R6" s="443"/>
      <c r="S6" s="444"/>
      <c r="V6" s="56" t="s">
        <v>141</v>
      </c>
      <c r="AB6" s="57"/>
      <c r="AC6" s="57"/>
      <c r="AD6" s="58" t="s">
        <v>177</v>
      </c>
      <c r="AE6" s="189" t="s">
        <v>178</v>
      </c>
      <c r="AG6" s="57"/>
      <c r="AH6" s="57"/>
      <c r="AP6" s="176" t="s">
        <v>179</v>
      </c>
    </row>
    <row r="7" spans="1:42" ht="30" customHeight="1" thickBot="1" x14ac:dyDescent="0.25">
      <c r="A7" s="48"/>
      <c r="B7" s="301" t="s">
        <v>227</v>
      </c>
      <c r="C7" s="401" t="s">
        <v>382</v>
      </c>
      <c r="D7" s="402"/>
      <c r="E7" s="405">
        <f>AD7</f>
        <v>2</v>
      </c>
      <c r="F7" s="399" t="str">
        <f>IF(Y7=0,"-",AP7)</f>
        <v>-</v>
      </c>
      <c r="G7" s="440" t="s">
        <v>143</v>
      </c>
      <c r="H7" s="441"/>
      <c r="I7" s="455"/>
      <c r="J7" s="456"/>
      <c r="K7" s="456"/>
      <c r="L7" s="456"/>
      <c r="M7" s="456"/>
      <c r="N7" s="456"/>
      <c r="O7" s="456"/>
      <c r="P7" s="456"/>
      <c r="Q7" s="457"/>
      <c r="R7" s="59" t="s">
        <v>267</v>
      </c>
      <c r="S7" s="422"/>
      <c r="V7" s="60">
        <f>IF(I7="",0,1)</f>
        <v>0</v>
      </c>
      <c r="W7" s="60">
        <f>IF(S7="",0,1)</f>
        <v>0</v>
      </c>
      <c r="X7" s="61"/>
      <c r="Y7" s="24">
        <f>SUM(V7:X9)</f>
        <v>0</v>
      </c>
      <c r="Z7" s="25" t="s">
        <v>219</v>
      </c>
      <c r="AA7" s="62" t="s">
        <v>24</v>
      </c>
      <c r="AB7" s="63"/>
      <c r="AC7" s="64">
        <f>IF($I$8=AA7,1,0)</f>
        <v>0</v>
      </c>
      <c r="AD7" s="65">
        <v>2</v>
      </c>
      <c r="AE7" s="66">
        <f>AC7*AD7</f>
        <v>0</v>
      </c>
      <c r="AG7" s="67"/>
      <c r="AH7" s="67"/>
      <c r="AP7" s="177">
        <f>IF(Y7=4,MAX(AE7:AE9),0)</f>
        <v>0</v>
      </c>
    </row>
    <row r="8" spans="1:42" ht="30" customHeight="1" thickBot="1" x14ac:dyDescent="0.25">
      <c r="A8" s="48"/>
      <c r="B8" s="302"/>
      <c r="C8" s="403"/>
      <c r="D8" s="404"/>
      <c r="E8" s="406"/>
      <c r="F8" s="399"/>
      <c r="G8" s="436" t="s">
        <v>372</v>
      </c>
      <c r="H8" s="437"/>
      <c r="I8" s="455"/>
      <c r="J8" s="456"/>
      <c r="K8" s="456"/>
      <c r="L8" s="456"/>
      <c r="M8" s="456"/>
      <c r="N8" s="456"/>
      <c r="O8" s="456"/>
      <c r="P8" s="456"/>
      <c r="Q8" s="457"/>
      <c r="R8" s="288" t="s">
        <v>268</v>
      </c>
      <c r="S8" s="423"/>
      <c r="V8" s="60">
        <f>IF(I8="",0,1)</f>
        <v>0</v>
      </c>
      <c r="W8" s="68"/>
      <c r="X8" s="69"/>
      <c r="Y8" s="69"/>
      <c r="Z8" s="25"/>
      <c r="AA8" s="62" t="s">
        <v>30</v>
      </c>
      <c r="AB8" s="63"/>
      <c r="AC8" s="64">
        <f>IF($I$8=AA8,1,0)</f>
        <v>0</v>
      </c>
      <c r="AD8" s="65">
        <v>1.5</v>
      </c>
      <c r="AE8" s="66">
        <f>AC8*AD8</f>
        <v>0</v>
      </c>
      <c r="AG8" s="67"/>
      <c r="AH8" s="67"/>
      <c r="AP8" s="70"/>
    </row>
    <row r="9" spans="1:42" ht="30" customHeight="1" thickBot="1" x14ac:dyDescent="0.25">
      <c r="A9" s="48"/>
      <c r="B9" s="302"/>
      <c r="C9" s="403"/>
      <c r="D9" s="404"/>
      <c r="E9" s="406"/>
      <c r="F9" s="399"/>
      <c r="G9" s="438" t="s">
        <v>277</v>
      </c>
      <c r="H9" s="439"/>
      <c r="I9" s="318"/>
      <c r="J9" s="319"/>
      <c r="K9" s="320" t="s">
        <v>258</v>
      </c>
      <c r="L9" s="320"/>
      <c r="M9" s="321" t="s">
        <v>290</v>
      </c>
      <c r="N9" s="322"/>
      <c r="O9" s="322"/>
      <c r="P9" s="221" t="s">
        <v>343</v>
      </c>
      <c r="Q9" s="28" t="s">
        <v>292</v>
      </c>
      <c r="R9" s="289"/>
      <c r="S9" s="424"/>
      <c r="V9" s="60">
        <f>IF(I9="",0,1)</f>
        <v>0</v>
      </c>
      <c r="W9" s="71"/>
      <c r="X9" s="69"/>
      <c r="Y9" s="69"/>
      <c r="AA9" s="62" t="s">
        <v>33</v>
      </c>
      <c r="AB9" s="63"/>
      <c r="AC9" s="64">
        <f>IF($I$8=AA9,1,0)</f>
        <v>0</v>
      </c>
      <c r="AD9" s="65">
        <v>0.5</v>
      </c>
      <c r="AE9" s="66">
        <f>AC9*AD9</f>
        <v>0</v>
      </c>
      <c r="AG9" s="67"/>
      <c r="AH9" s="67"/>
      <c r="AJ9" s="16" t="s">
        <v>323</v>
      </c>
      <c r="AK9" s="16" t="s">
        <v>324</v>
      </c>
    </row>
    <row r="10" spans="1:42" ht="30" customHeight="1" thickBot="1" x14ac:dyDescent="0.25">
      <c r="A10" s="48"/>
      <c r="B10" s="407"/>
      <c r="C10" s="419" t="s">
        <v>381</v>
      </c>
      <c r="D10" s="414"/>
      <c r="E10" s="427">
        <f>AD11</f>
        <v>1.5</v>
      </c>
      <c r="F10" s="430" t="str">
        <f>IF(Y10=0,"-",AP11)</f>
        <v>-</v>
      </c>
      <c r="G10" s="290" t="s">
        <v>363</v>
      </c>
      <c r="H10" s="447"/>
      <c r="I10" s="41" t="s">
        <v>259</v>
      </c>
      <c r="J10" s="219"/>
      <c r="K10" s="42" t="s">
        <v>261</v>
      </c>
      <c r="L10" s="425"/>
      <c r="M10" s="426">
        <v>20</v>
      </c>
      <c r="N10" s="42" t="s">
        <v>261</v>
      </c>
      <c r="O10" s="425"/>
      <c r="P10" s="426">
        <v>20</v>
      </c>
      <c r="Q10" s="72" t="s">
        <v>262</v>
      </c>
      <c r="R10" s="235" t="s">
        <v>375</v>
      </c>
      <c r="S10" s="164" t="s">
        <v>174</v>
      </c>
      <c r="V10" s="60">
        <f>IF(AND(J10&lt;&gt;"",L10&lt;&gt;"",O10&lt;&gt;""),1,0)</f>
        <v>0</v>
      </c>
      <c r="W10" s="60">
        <f>IF(S10='1.基本データ(このシートは削除しないこと！)'!D16,1,0)</f>
        <v>0</v>
      </c>
      <c r="X10" s="61"/>
      <c r="Y10" s="24">
        <f>SUM(V10:W11)</f>
        <v>0</v>
      </c>
      <c r="Z10" s="25" t="s">
        <v>244</v>
      </c>
      <c r="AB10" s="67"/>
      <c r="AC10" s="67"/>
      <c r="AD10" s="58" t="s">
        <v>170</v>
      </c>
      <c r="AE10" s="189" t="s">
        <v>153</v>
      </c>
      <c r="AG10" s="73" t="s">
        <v>320</v>
      </c>
      <c r="AH10" s="74"/>
      <c r="AI10" s="64">
        <f>IF($S$11=AG10,1,0)</f>
        <v>0</v>
      </c>
      <c r="AJ10" s="60">
        <v>1.25</v>
      </c>
      <c r="AK10" s="65">
        <f>AI10*AJ10</f>
        <v>0</v>
      </c>
      <c r="AP10" s="176" t="s">
        <v>173</v>
      </c>
    </row>
    <row r="11" spans="1:42" ht="30" customHeight="1" thickBot="1" x14ac:dyDescent="0.25">
      <c r="A11" s="48"/>
      <c r="B11" s="407"/>
      <c r="C11" s="420"/>
      <c r="D11" s="416"/>
      <c r="E11" s="428"/>
      <c r="F11" s="431"/>
      <c r="G11" s="445" t="s">
        <v>318</v>
      </c>
      <c r="H11" s="446"/>
      <c r="I11" s="284"/>
      <c r="J11" s="285"/>
      <c r="K11" s="285"/>
      <c r="L11" s="285"/>
      <c r="M11" s="285"/>
      <c r="N11" s="285"/>
      <c r="O11" s="286"/>
      <c r="P11" s="309" t="s">
        <v>373</v>
      </c>
      <c r="Q11" s="309"/>
      <c r="R11" s="310"/>
      <c r="S11" s="164" t="s">
        <v>174</v>
      </c>
      <c r="V11" s="60">
        <f>IF(AND(I11&lt;&gt;""),1,0)</f>
        <v>0</v>
      </c>
      <c r="W11" s="60">
        <f>IF(S11="-",0,1)</f>
        <v>0</v>
      </c>
      <c r="X11" s="69"/>
      <c r="AA11" s="73" t="s">
        <v>322</v>
      </c>
      <c r="AB11" s="74"/>
      <c r="AC11" s="64">
        <f>IF($S$11=AA11,1,0)</f>
        <v>0</v>
      </c>
      <c r="AD11" s="60">
        <v>1.5</v>
      </c>
      <c r="AE11" s="65">
        <f>AC11*AD11</f>
        <v>0</v>
      </c>
      <c r="AG11" s="73" t="s">
        <v>140</v>
      </c>
      <c r="AH11" s="74"/>
      <c r="AI11" s="64">
        <f>IF($S$11=AG11,1,0)</f>
        <v>0</v>
      </c>
      <c r="AJ11" s="60">
        <v>1</v>
      </c>
      <c r="AK11" s="65">
        <f>AI11*AJ11</f>
        <v>0</v>
      </c>
      <c r="AP11" s="177">
        <f>IF(Y10=4,MAX(AE11,AK10,AK11),0)</f>
        <v>0</v>
      </c>
    </row>
    <row r="12" spans="1:42" ht="19.95" customHeight="1" thickBot="1" x14ac:dyDescent="0.25">
      <c r="A12" s="48"/>
      <c r="B12" s="407"/>
      <c r="C12" s="421"/>
      <c r="D12" s="418"/>
      <c r="E12" s="429"/>
      <c r="F12" s="432"/>
      <c r="G12" s="448" t="s">
        <v>345</v>
      </c>
      <c r="H12" s="449"/>
      <c r="I12" s="449"/>
      <c r="J12" s="449"/>
      <c r="K12" s="449"/>
      <c r="L12" s="449"/>
      <c r="M12" s="449"/>
      <c r="N12" s="449"/>
      <c r="O12" s="449"/>
      <c r="P12" s="449"/>
      <c r="Q12" s="449"/>
      <c r="R12" s="449"/>
      <c r="S12" s="450"/>
      <c r="V12" s="60"/>
      <c r="W12" s="69"/>
      <c r="X12" s="69"/>
      <c r="AA12" s="75"/>
      <c r="AB12" s="76"/>
      <c r="AC12" s="77"/>
      <c r="AD12" s="60"/>
      <c r="AE12" s="78"/>
      <c r="AG12" s="75"/>
      <c r="AH12" s="76"/>
      <c r="AI12" s="77"/>
      <c r="AJ12" s="69"/>
      <c r="AK12" s="78"/>
      <c r="AP12" s="177"/>
    </row>
    <row r="13" spans="1:42" ht="34.950000000000003" customHeight="1" thickBot="1" x14ac:dyDescent="0.25">
      <c r="A13" s="48"/>
      <c r="B13" s="407"/>
      <c r="C13" s="290" t="s">
        <v>282</v>
      </c>
      <c r="D13" s="291"/>
      <c r="E13" s="79">
        <f t="shared" ref="E13" si="0">AD13</f>
        <v>0.25</v>
      </c>
      <c r="F13" s="80" t="str">
        <f t="shared" ref="F13" si="1">AP13</f>
        <v>-</v>
      </c>
      <c r="G13" s="453" t="s">
        <v>392</v>
      </c>
      <c r="H13" s="454"/>
      <c r="I13" s="454"/>
      <c r="J13" s="454"/>
      <c r="K13" s="454"/>
      <c r="L13" s="454"/>
      <c r="M13" s="454"/>
      <c r="N13" s="454"/>
      <c r="O13" s="454"/>
      <c r="P13" s="454"/>
      <c r="Q13" s="454"/>
      <c r="R13" s="22" t="s">
        <v>374</v>
      </c>
      <c r="S13" s="165" t="s">
        <v>174</v>
      </c>
      <c r="V13" s="60">
        <f>IF(S13="有",1,0)</f>
        <v>0</v>
      </c>
      <c r="W13" s="69"/>
      <c r="X13" s="69"/>
      <c r="AD13" s="65">
        <v>0.25</v>
      </c>
      <c r="AE13" s="81"/>
      <c r="AG13" s="67"/>
      <c r="AH13" s="67"/>
      <c r="AP13" s="178" t="str">
        <f>IF(V13=1,AD13,"-")</f>
        <v>-</v>
      </c>
    </row>
    <row r="14" spans="1:42" ht="34.950000000000003" customHeight="1" thickBot="1" x14ac:dyDescent="0.25">
      <c r="A14" s="48"/>
      <c r="B14" s="407"/>
      <c r="C14" s="282" t="s">
        <v>283</v>
      </c>
      <c r="D14" s="283"/>
      <c r="E14" s="79">
        <f t="shared" ref="E14" si="2">AD14</f>
        <v>0.25</v>
      </c>
      <c r="F14" s="80" t="str">
        <f t="shared" ref="F14" si="3">AP14</f>
        <v>-</v>
      </c>
      <c r="G14" s="451" t="s">
        <v>269</v>
      </c>
      <c r="H14" s="452"/>
      <c r="I14" s="452"/>
      <c r="J14" s="452"/>
      <c r="K14" s="452"/>
      <c r="L14" s="452"/>
      <c r="M14" s="452"/>
      <c r="N14" s="452"/>
      <c r="O14" s="452"/>
      <c r="P14" s="452"/>
      <c r="Q14" s="452"/>
      <c r="R14" s="22" t="s">
        <v>374</v>
      </c>
      <c r="S14" s="166" t="s">
        <v>174</v>
      </c>
      <c r="V14" s="60">
        <f>IF(S14="有",1,0)</f>
        <v>0</v>
      </c>
      <c r="W14" s="69"/>
      <c r="X14" s="69"/>
      <c r="AD14" s="65">
        <v>0.25</v>
      </c>
      <c r="AE14" s="81"/>
      <c r="AG14" s="67"/>
      <c r="AH14" s="67"/>
      <c r="AP14" s="178" t="str">
        <f>IF(V14=1,AD14,"-")</f>
        <v>-</v>
      </c>
    </row>
    <row r="15" spans="1:42" ht="37.049999999999997" customHeight="1" thickBot="1" x14ac:dyDescent="0.25">
      <c r="A15" s="48"/>
      <c r="B15" s="302"/>
      <c r="C15" s="411" t="s">
        <v>0</v>
      </c>
      <c r="D15" s="412"/>
      <c r="E15" s="234"/>
      <c r="F15" s="234"/>
      <c r="G15" s="468" t="s">
        <v>288</v>
      </c>
      <c r="H15" s="469"/>
      <c r="I15" s="293"/>
      <c r="J15" s="294"/>
      <c r="K15" s="294"/>
      <c r="L15" s="294"/>
      <c r="M15" s="294"/>
      <c r="N15" s="294"/>
      <c r="O15" s="294"/>
      <c r="P15" s="294"/>
      <c r="Q15" s="295"/>
      <c r="R15" s="408"/>
      <c r="S15" s="409"/>
      <c r="V15" s="24">
        <f>IF(I15="",0,1)</f>
        <v>0</v>
      </c>
      <c r="W15" s="30" t="s">
        <v>228</v>
      </c>
      <c r="AD15" s="58" t="s">
        <v>170</v>
      </c>
      <c r="AE15" s="58" t="s">
        <v>153</v>
      </c>
      <c r="AP15" s="176" t="s">
        <v>173</v>
      </c>
    </row>
    <row r="16" spans="1:42" ht="30" customHeight="1" thickBot="1" x14ac:dyDescent="0.25">
      <c r="A16" s="48"/>
      <c r="B16" s="302"/>
      <c r="C16" s="413" t="s">
        <v>371</v>
      </c>
      <c r="D16" s="414"/>
      <c r="E16" s="410">
        <f>AD16</f>
        <v>0.5</v>
      </c>
      <c r="F16" s="399" t="str">
        <f>IF(Y16=0,"-",AP16)</f>
        <v>-</v>
      </c>
      <c r="G16" s="440" t="s">
        <v>143</v>
      </c>
      <c r="H16" s="441"/>
      <c r="I16" s="325"/>
      <c r="J16" s="326"/>
      <c r="K16" s="326"/>
      <c r="L16" s="326"/>
      <c r="M16" s="326"/>
      <c r="N16" s="326"/>
      <c r="O16" s="326"/>
      <c r="P16" s="326"/>
      <c r="Q16" s="327"/>
      <c r="R16" s="59" t="s">
        <v>267</v>
      </c>
      <c r="S16" s="422"/>
      <c r="V16" s="82">
        <f>IF(I16="",0,1)</f>
        <v>0</v>
      </c>
      <c r="W16" s="60">
        <f>IF(S16="",0,1)</f>
        <v>0</v>
      </c>
      <c r="X16" s="61"/>
      <c r="Y16" s="24">
        <f>SUM(V16:W19)</f>
        <v>0</v>
      </c>
      <c r="Z16" s="25" t="s">
        <v>246</v>
      </c>
      <c r="AB16" s="83"/>
      <c r="AC16" s="83"/>
      <c r="AD16" s="65">
        <v>0.5</v>
      </c>
      <c r="AE16" s="27">
        <f>IF(Y16=5,AD16*V$15,0)</f>
        <v>0</v>
      </c>
      <c r="AG16" s="83"/>
      <c r="AH16" s="83"/>
      <c r="AP16" s="179">
        <f>IF(Y16=5,AE16,0)</f>
        <v>0</v>
      </c>
    </row>
    <row r="17" spans="1:50" ht="30" customHeight="1" thickBot="1" x14ac:dyDescent="0.25">
      <c r="A17" s="48"/>
      <c r="B17" s="302"/>
      <c r="C17" s="415"/>
      <c r="D17" s="416"/>
      <c r="E17" s="410"/>
      <c r="F17" s="399"/>
      <c r="G17" s="470" t="s">
        <v>326</v>
      </c>
      <c r="H17" s="471"/>
      <c r="I17" s="296"/>
      <c r="J17" s="297"/>
      <c r="K17" s="297"/>
      <c r="L17" s="297"/>
      <c r="M17" s="19" t="s">
        <v>263</v>
      </c>
      <c r="N17" s="297"/>
      <c r="O17" s="297"/>
      <c r="P17" s="297"/>
      <c r="Q17" s="298"/>
      <c r="R17" s="288" t="s">
        <v>268</v>
      </c>
      <c r="S17" s="423"/>
      <c r="V17" s="60">
        <f>IF(AND(I17&lt;&gt;"",N17&lt;&gt;""),1,0)</f>
        <v>0</v>
      </c>
      <c r="W17" s="68"/>
      <c r="X17" s="69"/>
      <c r="AB17" s="83"/>
      <c r="AC17" s="83"/>
      <c r="AE17" s="83"/>
      <c r="AG17" s="83"/>
      <c r="AH17" s="83"/>
    </row>
    <row r="18" spans="1:50" ht="30" customHeight="1" thickBot="1" x14ac:dyDescent="0.25">
      <c r="A18" s="48"/>
      <c r="B18" s="302"/>
      <c r="C18" s="415"/>
      <c r="D18" s="416"/>
      <c r="E18" s="410"/>
      <c r="F18" s="399"/>
      <c r="G18" s="470" t="s">
        <v>325</v>
      </c>
      <c r="H18" s="471"/>
      <c r="I18" s="296"/>
      <c r="J18" s="297"/>
      <c r="K18" s="297"/>
      <c r="L18" s="297"/>
      <c r="M18" s="19" t="s">
        <v>257</v>
      </c>
      <c r="N18" s="297"/>
      <c r="O18" s="297"/>
      <c r="P18" s="297"/>
      <c r="Q18" s="298"/>
      <c r="R18" s="288"/>
      <c r="S18" s="423"/>
      <c r="V18" s="60">
        <f>IF(AND(I18&lt;&gt;"",N18&lt;&gt;""),1,0)</f>
        <v>0</v>
      </c>
      <c r="W18" s="84"/>
      <c r="X18" s="69"/>
      <c r="AB18" s="83"/>
      <c r="AC18" s="83"/>
      <c r="AE18" s="83"/>
      <c r="AG18" s="83"/>
      <c r="AH18" s="83"/>
    </row>
    <row r="19" spans="1:50" ht="30" customHeight="1" thickBot="1" x14ac:dyDescent="0.25">
      <c r="A19" s="48"/>
      <c r="B19" s="302"/>
      <c r="C19" s="417"/>
      <c r="D19" s="418"/>
      <c r="E19" s="410"/>
      <c r="F19" s="399"/>
      <c r="G19" s="438" t="s">
        <v>218</v>
      </c>
      <c r="H19" s="439"/>
      <c r="I19" s="318"/>
      <c r="J19" s="319"/>
      <c r="K19" s="320" t="s">
        <v>258</v>
      </c>
      <c r="L19" s="320"/>
      <c r="M19" s="321" t="s">
        <v>290</v>
      </c>
      <c r="N19" s="322"/>
      <c r="O19" s="322"/>
      <c r="P19" s="163" t="s">
        <v>291</v>
      </c>
      <c r="Q19" s="28" t="s">
        <v>292</v>
      </c>
      <c r="R19" s="289"/>
      <c r="S19" s="424"/>
      <c r="V19" s="60">
        <f>IF(I19="",0,1)</f>
        <v>0</v>
      </c>
      <c r="W19" s="71"/>
      <c r="X19" s="69"/>
      <c r="AB19" s="83"/>
      <c r="AC19" s="83"/>
      <c r="AD19" s="58" t="s">
        <v>170</v>
      </c>
      <c r="AE19" s="58" t="s">
        <v>153</v>
      </c>
      <c r="AG19" s="83"/>
      <c r="AH19" s="83"/>
      <c r="AP19" s="176" t="s">
        <v>173</v>
      </c>
    </row>
    <row r="20" spans="1:50" ht="37.049999999999997" customHeight="1" thickBot="1" x14ac:dyDescent="0.25">
      <c r="A20" s="48"/>
      <c r="B20" s="302"/>
      <c r="C20" s="401" t="s">
        <v>362</v>
      </c>
      <c r="D20" s="402"/>
      <c r="E20" s="410">
        <f>AD20</f>
        <v>0.5</v>
      </c>
      <c r="F20" s="399" t="str">
        <f>IF(Y20=0,"-",AP20)</f>
        <v>-</v>
      </c>
      <c r="G20" s="470" t="s">
        <v>270</v>
      </c>
      <c r="H20" s="471"/>
      <c r="I20" s="20" t="s">
        <v>259</v>
      </c>
      <c r="J20" s="220"/>
      <c r="K20" s="21" t="s">
        <v>260</v>
      </c>
      <c r="L20" s="292"/>
      <c r="M20" s="292">
        <v>20</v>
      </c>
      <c r="N20" s="21" t="s">
        <v>264</v>
      </c>
      <c r="O20" s="292"/>
      <c r="P20" s="292">
        <v>20</v>
      </c>
      <c r="Q20" s="85" t="s">
        <v>262</v>
      </c>
      <c r="R20" s="59" t="s">
        <v>267</v>
      </c>
      <c r="S20" s="422"/>
      <c r="V20" s="60">
        <f>IF(AND(J20&lt;&gt;"",L20&lt;&gt;"",O20&lt;&gt;""),1,0)</f>
        <v>0</v>
      </c>
      <c r="W20" s="60">
        <f>IF(S20="",0,1)</f>
        <v>0</v>
      </c>
      <c r="X20" s="61"/>
      <c r="Y20" s="24">
        <f>SUM(V20:W22)</f>
        <v>0</v>
      </c>
      <c r="Z20" s="25" t="s">
        <v>346</v>
      </c>
      <c r="AB20" s="83"/>
      <c r="AC20" s="83"/>
      <c r="AD20" s="65">
        <v>0.5</v>
      </c>
      <c r="AE20" s="27">
        <f>IF(Y20=4,AD20*V$15,0)</f>
        <v>0</v>
      </c>
      <c r="AG20" s="83"/>
      <c r="AH20" s="83"/>
      <c r="AP20" s="179">
        <f>IF(Y20=4,AE20,0)</f>
        <v>0</v>
      </c>
    </row>
    <row r="21" spans="1:50" ht="37.049999999999997" customHeight="1" thickBot="1" x14ac:dyDescent="0.25">
      <c r="A21" s="48"/>
      <c r="B21" s="302"/>
      <c r="C21" s="403"/>
      <c r="D21" s="404"/>
      <c r="E21" s="410"/>
      <c r="F21" s="399"/>
      <c r="G21" s="290" t="s">
        <v>334</v>
      </c>
      <c r="H21" s="447"/>
      <c r="I21" s="284"/>
      <c r="J21" s="285"/>
      <c r="K21" s="285"/>
      <c r="L21" s="285"/>
      <c r="M21" s="42" t="s">
        <v>265</v>
      </c>
      <c r="N21" s="285"/>
      <c r="O21" s="285"/>
      <c r="P21" s="285"/>
      <c r="Q21" s="286"/>
      <c r="R21" s="288" t="s">
        <v>268</v>
      </c>
      <c r="S21" s="423"/>
      <c r="V21" s="60">
        <f>IF(AND(I21&lt;&gt;"",N21&lt;&gt;""),1,0)</f>
        <v>0</v>
      </c>
      <c r="W21" s="68"/>
      <c r="X21" s="69"/>
      <c r="AB21" s="83"/>
      <c r="AC21" s="83"/>
      <c r="AE21" s="83"/>
      <c r="AG21" s="83"/>
      <c r="AH21" s="83"/>
    </row>
    <row r="22" spans="1:50" ht="37.049999999999997" customHeight="1" thickBot="1" x14ac:dyDescent="0.25">
      <c r="A22" s="48"/>
      <c r="B22" s="303"/>
      <c r="C22" s="411"/>
      <c r="D22" s="412"/>
      <c r="E22" s="410"/>
      <c r="F22" s="399"/>
      <c r="G22" s="470" t="s">
        <v>325</v>
      </c>
      <c r="H22" s="471"/>
      <c r="I22" s="284"/>
      <c r="J22" s="285"/>
      <c r="K22" s="285"/>
      <c r="L22" s="285"/>
      <c r="M22" s="42" t="s">
        <v>266</v>
      </c>
      <c r="N22" s="285"/>
      <c r="O22" s="285"/>
      <c r="P22" s="285"/>
      <c r="Q22" s="286"/>
      <c r="R22" s="289"/>
      <c r="S22" s="424"/>
      <c r="V22" s="60">
        <f>IF(AND(I22&lt;&gt;"",N22&lt;&gt;""),1,0)</f>
        <v>0</v>
      </c>
      <c r="W22" s="84"/>
      <c r="X22" s="69"/>
      <c r="AB22" s="83"/>
      <c r="AC22" s="83"/>
      <c r="AE22" s="83"/>
      <c r="AG22" s="83"/>
      <c r="AH22" s="83"/>
    </row>
    <row r="23" spans="1:50" s="238" customFormat="1" ht="15" customHeight="1" x14ac:dyDescent="0.2">
      <c r="A23" s="237"/>
      <c r="B23" s="323" t="s">
        <v>348</v>
      </c>
      <c r="C23" s="323"/>
      <c r="D23" s="323"/>
      <c r="E23" s="323"/>
      <c r="F23" s="323"/>
      <c r="G23" s="323"/>
      <c r="H23" s="323"/>
      <c r="I23" s="323"/>
      <c r="J23" s="323"/>
      <c r="K23" s="323"/>
      <c r="L23" s="323"/>
      <c r="M23" s="323"/>
      <c r="N23" s="323"/>
      <c r="O23" s="323"/>
      <c r="P23" s="323"/>
      <c r="Q23" s="323"/>
      <c r="R23" s="323"/>
      <c r="S23" s="323"/>
    </row>
    <row r="24" spans="1:50" s="238" customFormat="1" ht="12" customHeight="1" x14ac:dyDescent="0.2">
      <c r="A24" s="237"/>
      <c r="B24" s="287" t="s">
        <v>349</v>
      </c>
      <c r="C24" s="287"/>
      <c r="D24" s="287"/>
      <c r="E24" s="287"/>
      <c r="F24" s="287"/>
      <c r="G24" s="287"/>
      <c r="H24" s="287"/>
      <c r="I24" s="287"/>
      <c r="J24" s="287"/>
      <c r="K24" s="287"/>
      <c r="L24" s="287"/>
      <c r="M24" s="287"/>
      <c r="N24" s="287"/>
      <c r="O24" s="287"/>
      <c r="P24" s="287"/>
      <c r="Q24" s="287"/>
      <c r="R24" s="287"/>
      <c r="S24" s="287"/>
      <c r="AG24" s="239"/>
    </row>
    <row r="25" spans="1:50" s="238" customFormat="1" ht="12" customHeight="1" x14ac:dyDescent="0.2">
      <c r="A25" s="237"/>
      <c r="B25" s="287" t="s">
        <v>350</v>
      </c>
      <c r="C25" s="287"/>
      <c r="D25" s="287"/>
      <c r="E25" s="287"/>
      <c r="F25" s="287"/>
      <c r="G25" s="287"/>
      <c r="H25" s="287"/>
      <c r="I25" s="287"/>
      <c r="J25" s="287"/>
      <c r="K25" s="287"/>
      <c r="L25" s="287"/>
      <c r="M25" s="287"/>
      <c r="N25" s="287"/>
      <c r="O25" s="287"/>
      <c r="P25" s="287"/>
      <c r="Q25" s="287"/>
      <c r="R25" s="287"/>
      <c r="S25" s="287"/>
      <c r="AG25" s="239"/>
      <c r="AH25" s="239"/>
      <c r="AI25" s="239"/>
      <c r="AJ25" s="239"/>
      <c r="AK25" s="239"/>
    </row>
    <row r="26" spans="1:50" s="238" customFormat="1" ht="12" customHeight="1" x14ac:dyDescent="0.2">
      <c r="A26" s="237"/>
      <c r="B26" s="287" t="s">
        <v>390</v>
      </c>
      <c r="C26" s="287"/>
      <c r="D26" s="287"/>
      <c r="E26" s="287"/>
      <c r="F26" s="287"/>
      <c r="G26" s="287"/>
      <c r="H26" s="287"/>
      <c r="I26" s="287"/>
      <c r="J26" s="287"/>
      <c r="K26" s="287"/>
      <c r="L26" s="287"/>
      <c r="M26" s="287"/>
      <c r="N26" s="287"/>
      <c r="O26" s="287"/>
      <c r="P26" s="287"/>
      <c r="Q26" s="287"/>
      <c r="R26" s="287"/>
      <c r="S26" s="287"/>
      <c r="AG26" s="239"/>
      <c r="AH26" s="239"/>
      <c r="AI26" s="239"/>
      <c r="AJ26" s="239"/>
      <c r="AK26" s="239"/>
    </row>
    <row r="27" spans="1:50" s="238" customFormat="1" ht="24" customHeight="1" x14ac:dyDescent="0.2">
      <c r="A27" s="237"/>
      <c r="B27" s="287" t="s">
        <v>389</v>
      </c>
      <c r="C27" s="287"/>
      <c r="D27" s="287"/>
      <c r="E27" s="287"/>
      <c r="F27" s="287"/>
      <c r="G27" s="287"/>
      <c r="H27" s="287"/>
      <c r="I27" s="287"/>
      <c r="J27" s="287"/>
      <c r="K27" s="287"/>
      <c r="L27" s="287"/>
      <c r="M27" s="287"/>
      <c r="N27" s="287"/>
      <c r="O27" s="287"/>
      <c r="P27" s="287"/>
      <c r="Q27" s="287"/>
      <c r="R27" s="287"/>
      <c r="S27" s="287"/>
      <c r="V27" s="240"/>
      <c r="W27" s="240"/>
      <c r="X27" s="240"/>
      <c r="Y27" s="240"/>
      <c r="Z27" s="240"/>
      <c r="AA27" s="240"/>
      <c r="AB27" s="240"/>
      <c r="AC27" s="241"/>
      <c r="AE27" s="242"/>
      <c r="AF27" s="243"/>
      <c r="AG27" s="244"/>
      <c r="AH27" s="245"/>
      <c r="AM27" s="246"/>
    </row>
    <row r="28" spans="1:50" ht="14.25" customHeight="1" x14ac:dyDescent="0.2">
      <c r="A28" s="48"/>
      <c r="B28" s="88" t="s">
        <v>256</v>
      </c>
      <c r="C28" s="89"/>
      <c r="D28" s="89"/>
      <c r="E28" s="89"/>
      <c r="F28" s="89"/>
      <c r="G28" s="89"/>
      <c r="H28" s="89"/>
      <c r="I28" s="89"/>
      <c r="J28" s="89"/>
      <c r="K28" s="89"/>
      <c r="L28" s="89"/>
      <c r="M28" s="89"/>
      <c r="N28" s="89"/>
      <c r="O28" s="89"/>
      <c r="P28" s="89"/>
      <c r="Q28" s="89"/>
      <c r="S28" s="50" t="s">
        <v>245</v>
      </c>
      <c r="AM28" s="16" t="s">
        <v>170</v>
      </c>
      <c r="AN28" s="86"/>
      <c r="AO28" s="86"/>
      <c r="AP28" s="86"/>
    </row>
    <row r="29" spans="1:50" ht="16.5" customHeight="1" thickBot="1" x14ac:dyDescent="0.25">
      <c r="A29" s="48"/>
      <c r="B29" s="300" t="s">
        <v>145</v>
      </c>
      <c r="C29" s="300"/>
      <c r="D29" s="300"/>
      <c r="E29" s="324" t="str">
        <f>'1.基本データ(このシートは削除しないこと！)'!H14&amp;'1.基本データ(このシートは削除しないこと！)'!H15</f>
        <v>第○○-○○○○○-○○○○号 ○○○○○○○○○○○○工事</v>
      </c>
      <c r="F29" s="324"/>
      <c r="G29" s="324"/>
      <c r="H29" s="324"/>
      <c r="I29" s="324"/>
      <c r="J29" s="324"/>
      <c r="K29" s="324"/>
      <c r="L29" s="324"/>
      <c r="M29" s="324"/>
      <c r="N29" s="324"/>
      <c r="O29" s="324"/>
      <c r="P29" s="324"/>
      <c r="Q29" s="324"/>
      <c r="R29" s="324"/>
      <c r="V29" s="69"/>
      <c r="W29" s="69"/>
      <c r="X29" s="69"/>
      <c r="AE29" s="78"/>
      <c r="AF29" s="81"/>
      <c r="AJ29" s="60">
        <v>0</v>
      </c>
      <c r="AK29" s="115"/>
      <c r="AL29" s="115"/>
      <c r="AM29" s="26">
        <v>0</v>
      </c>
      <c r="AX29" s="69"/>
    </row>
    <row r="30" spans="1:50" ht="16.5" customHeight="1" thickBot="1" x14ac:dyDescent="0.25">
      <c r="A30" s="48"/>
      <c r="B30" s="51"/>
      <c r="C30" s="51"/>
      <c r="D30" s="52" t="s">
        <v>146</v>
      </c>
      <c r="E30" s="53" t="str">
        <f>'1.基本データ(このシートは削除しないこと！)'!H7</f>
        <v>株式会社○○○○</v>
      </c>
      <c r="F30" s="48"/>
      <c r="G30" s="48"/>
      <c r="H30" s="48"/>
      <c r="I30" s="48"/>
      <c r="J30" s="48"/>
      <c r="K30" s="48"/>
      <c r="L30" s="48"/>
      <c r="M30" s="48"/>
      <c r="N30" s="48"/>
      <c r="O30" s="48"/>
      <c r="P30" s="48"/>
      <c r="Q30" s="48"/>
      <c r="R30" s="48"/>
      <c r="S30" s="48"/>
      <c r="V30" s="24">
        <f>IF(K32="",0,1)</f>
        <v>0</v>
      </c>
      <c r="W30" s="30" t="s">
        <v>354</v>
      </c>
      <c r="Z30" s="16" t="s">
        <v>286</v>
      </c>
      <c r="AA30" s="60"/>
      <c r="AB30" s="16" t="s">
        <v>287</v>
      </c>
      <c r="AE30" s="90"/>
      <c r="AF30" s="91"/>
      <c r="AG30" s="92"/>
      <c r="AJ30" s="60">
        <v>42</v>
      </c>
      <c r="AK30" s="60" t="s">
        <v>150</v>
      </c>
      <c r="AL30" s="60" t="s">
        <v>176</v>
      </c>
      <c r="AM30" s="26">
        <v>5</v>
      </c>
      <c r="AP30" s="176" t="s">
        <v>173</v>
      </c>
      <c r="AX30" s="69"/>
    </row>
    <row r="31" spans="1:50" ht="22.5" customHeight="1" thickBot="1" x14ac:dyDescent="0.25">
      <c r="A31" s="48"/>
      <c r="B31" s="299" t="s">
        <v>369</v>
      </c>
      <c r="C31" s="299"/>
      <c r="D31" s="299"/>
      <c r="E31" s="54" t="s">
        <v>175</v>
      </c>
      <c r="F31" s="55" t="s">
        <v>1</v>
      </c>
      <c r="G31" s="442" t="s">
        <v>347</v>
      </c>
      <c r="H31" s="443"/>
      <c r="I31" s="443"/>
      <c r="J31" s="443"/>
      <c r="K31" s="443"/>
      <c r="L31" s="443"/>
      <c r="M31" s="443"/>
      <c r="N31" s="443"/>
      <c r="O31" s="443"/>
      <c r="P31" s="443"/>
      <c r="Q31" s="443"/>
      <c r="R31" s="443"/>
      <c r="S31" s="444"/>
      <c r="V31" s="60">
        <f>IF(OR(R32=リスト!O4),1,0)</f>
        <v>0</v>
      </c>
      <c r="W31" s="62">
        <f>V30</f>
        <v>0</v>
      </c>
      <c r="X31" s="24">
        <f>SUM(V31:W31)</f>
        <v>0</v>
      </c>
      <c r="Y31" s="25" t="s">
        <v>285</v>
      </c>
      <c r="Z31" s="26">
        <v>0.5</v>
      </c>
      <c r="AA31" s="60">
        <f>Z31*V31</f>
        <v>0</v>
      </c>
      <c r="AB31" s="223" t="str">
        <f>IF(V30=1,MAX(AA31:AA32),"-")</f>
        <v>-</v>
      </c>
      <c r="AC31" s="93" t="s">
        <v>213</v>
      </c>
      <c r="AE31" s="94">
        <v>1</v>
      </c>
      <c r="AF31" s="95">
        <f>V33*AE31</f>
        <v>0</v>
      </c>
      <c r="AG31" s="96" t="str">
        <f>IF('1.基本データ(このシートは削除しないこと！)'!H16=1,MAX(AF31:AF32),"-")</f>
        <v>-</v>
      </c>
      <c r="AJ31" s="60">
        <v>41</v>
      </c>
      <c r="AK31" s="60" t="s">
        <v>150</v>
      </c>
      <c r="AL31" s="60" t="s">
        <v>29</v>
      </c>
      <c r="AM31" s="26">
        <v>4</v>
      </c>
      <c r="AP31" s="180"/>
      <c r="AX31" s="87"/>
    </row>
    <row r="32" spans="1:50" ht="43.95" customHeight="1" thickBot="1" x14ac:dyDescent="0.25">
      <c r="A32" s="48"/>
      <c r="B32" s="301" t="s">
        <v>196</v>
      </c>
      <c r="C32" s="282" t="s">
        <v>271</v>
      </c>
      <c r="D32" s="283"/>
      <c r="E32" s="43">
        <f>Z31</f>
        <v>0.5</v>
      </c>
      <c r="F32" s="80" t="str">
        <f>AQ34</f>
        <v>-</v>
      </c>
      <c r="G32" s="476" t="s">
        <v>393</v>
      </c>
      <c r="H32" s="477"/>
      <c r="I32" s="304" t="s">
        <v>364</v>
      </c>
      <c r="J32" s="305"/>
      <c r="K32" s="472"/>
      <c r="L32" s="473"/>
      <c r="M32" s="473"/>
      <c r="N32" s="473"/>
      <c r="O32" s="473"/>
      <c r="P32" s="473"/>
      <c r="Q32" s="474"/>
      <c r="R32" s="312" t="s">
        <v>174</v>
      </c>
      <c r="S32" s="314"/>
      <c r="V32" s="60">
        <f>IF(OR(R32=リスト!O5),1,0)</f>
        <v>0</v>
      </c>
      <c r="W32" s="62">
        <f>V30</f>
        <v>0</v>
      </c>
      <c r="X32" s="24">
        <f>SUM(V32:W32)</f>
        <v>0</v>
      </c>
      <c r="Y32" s="25" t="s">
        <v>285</v>
      </c>
      <c r="Z32" s="60">
        <v>0.25</v>
      </c>
      <c r="AA32" s="60">
        <f>Z32*V32</f>
        <v>0</v>
      </c>
      <c r="AB32" s="223" t="str">
        <f>IF(V30=1,MAX(AA31:AA32),"-")</f>
        <v>-</v>
      </c>
      <c r="AC32" s="97" t="s">
        <v>214</v>
      </c>
      <c r="AE32" s="98">
        <v>0.5</v>
      </c>
      <c r="AF32" s="99">
        <f>W33*AE32</f>
        <v>0</v>
      </c>
      <c r="AG32" s="100">
        <f>IF('1.基本データ(このシートは削除しないこと！)'!H16=10,AF32,"-")</f>
        <v>0</v>
      </c>
      <c r="AJ32" s="60">
        <v>40</v>
      </c>
      <c r="AK32" s="60" t="s">
        <v>150</v>
      </c>
      <c r="AL32" s="60" t="s">
        <v>3</v>
      </c>
      <c r="AM32" s="26">
        <v>3</v>
      </c>
      <c r="AP32" s="180"/>
      <c r="AX32" s="87"/>
    </row>
    <row r="33" spans="1:60" ht="32.1" customHeight="1" thickBot="1" x14ac:dyDescent="0.25">
      <c r="A33" s="48"/>
      <c r="B33" s="302"/>
      <c r="C33" s="345" t="s">
        <v>351</v>
      </c>
      <c r="D33" s="346"/>
      <c r="E33" s="192">
        <f>AE31</f>
        <v>1</v>
      </c>
      <c r="F33" s="190" t="str">
        <f>AQ35</f>
        <v>-</v>
      </c>
      <c r="G33" s="364" t="s">
        <v>394</v>
      </c>
      <c r="H33" s="475"/>
      <c r="I33" s="311" t="s">
        <v>365</v>
      </c>
      <c r="J33" s="311"/>
      <c r="K33" s="312" t="s">
        <v>174</v>
      </c>
      <c r="L33" s="313"/>
      <c r="M33" s="313"/>
      <c r="N33" s="313"/>
      <c r="O33" s="313"/>
      <c r="P33" s="313"/>
      <c r="Q33" s="313"/>
      <c r="R33" s="313"/>
      <c r="S33" s="314"/>
      <c r="V33" s="60">
        <f>IF(AND('1.基本データ(このシートは削除しないこと！)'!$H$16=1,'3.様式第11号-1(特別簡易型)'!$K$33=リスト!K9),1,0)</f>
        <v>0</v>
      </c>
      <c r="W33" s="60">
        <f>IF(AND('1.基本データ(このシートは削除しないこと！)'!$H$16=1,'3.様式第11号-1(特別簡易型)'!$K$33=リスト!K10),1,0)</f>
        <v>0</v>
      </c>
      <c r="X33" s="60">
        <f>IF(AND('1.基本データ(このシートは削除しないこと！)'!$H$16=10,'3.様式第11号-1(特別簡易型)'!$K$33=リスト!K11),1,0)</f>
        <v>0</v>
      </c>
      <c r="Y33" s="30">
        <f>SUM(V33:X33)</f>
        <v>0</v>
      </c>
      <c r="Z33" s="102" t="s">
        <v>212</v>
      </c>
      <c r="AC33" s="103" t="s">
        <v>215</v>
      </c>
      <c r="AE33" s="98">
        <v>1</v>
      </c>
      <c r="AF33" s="99">
        <f>X33*AE33</f>
        <v>0</v>
      </c>
      <c r="AG33" s="100">
        <f>IF('1.基本データ(このシートは削除しないこと！)'!H16=10,AF33,"-")</f>
        <v>0</v>
      </c>
      <c r="AJ33" s="60">
        <v>32</v>
      </c>
      <c r="AK33" s="60" t="s">
        <v>151</v>
      </c>
      <c r="AL33" s="60" t="s">
        <v>176</v>
      </c>
      <c r="AM33" s="26">
        <v>3</v>
      </c>
      <c r="AQ33" s="176" t="s">
        <v>173</v>
      </c>
      <c r="AS33" s="86" t="s">
        <v>199</v>
      </c>
      <c r="AT33" s="156"/>
      <c r="AX33" s="87"/>
    </row>
    <row r="34" spans="1:60" ht="32.1" customHeight="1" thickBot="1" x14ac:dyDescent="0.25">
      <c r="A34" s="48"/>
      <c r="B34" s="302"/>
      <c r="C34" s="328" t="s">
        <v>284</v>
      </c>
      <c r="D34" s="329"/>
      <c r="E34" s="334">
        <f>AM30</f>
        <v>5</v>
      </c>
      <c r="F34" s="337" t="str">
        <f>IF(OR(K35="-",K36="-"),"-",AQ41)</f>
        <v>-</v>
      </c>
      <c r="G34" s="350" t="s">
        <v>220</v>
      </c>
      <c r="H34" s="351"/>
      <c r="I34" s="351"/>
      <c r="J34" s="351"/>
      <c r="K34" s="351"/>
      <c r="L34" s="351"/>
      <c r="M34" s="351"/>
      <c r="N34" s="351"/>
      <c r="O34" s="351"/>
      <c r="P34" s="351"/>
      <c r="Q34" s="352"/>
      <c r="R34" s="460" t="s">
        <v>355</v>
      </c>
      <c r="S34" s="461"/>
      <c r="Z34" s="168" t="s">
        <v>234</v>
      </c>
      <c r="AA34" s="169"/>
      <c r="AB34" s="169"/>
      <c r="AC34" s="169"/>
      <c r="AE34" s="170" t="s">
        <v>154</v>
      </c>
      <c r="AF34" s="169"/>
      <c r="AG34" s="169"/>
      <c r="AJ34" s="60">
        <v>31</v>
      </c>
      <c r="AK34" s="60" t="s">
        <v>151</v>
      </c>
      <c r="AL34" s="60" t="s">
        <v>29</v>
      </c>
      <c r="AM34" s="26">
        <v>2</v>
      </c>
      <c r="AO34" s="101" t="s">
        <v>208</v>
      </c>
      <c r="AQ34" s="224" t="str">
        <f>IF(V30=1,MAX(AB31:AB32),"-")</f>
        <v>-</v>
      </c>
      <c r="AS34" s="16" t="s">
        <v>223</v>
      </c>
      <c r="AT34" s="175" t="s">
        <v>154</v>
      </c>
      <c r="AX34" s="87"/>
    </row>
    <row r="35" spans="1:60" ht="32.1" customHeight="1" thickBot="1" x14ac:dyDescent="0.25">
      <c r="A35" s="48"/>
      <c r="B35" s="302"/>
      <c r="C35" s="330"/>
      <c r="D35" s="331"/>
      <c r="E35" s="335"/>
      <c r="F35" s="338"/>
      <c r="G35" s="355" t="s">
        <v>272</v>
      </c>
      <c r="H35" s="356"/>
      <c r="I35" s="311" t="s">
        <v>365</v>
      </c>
      <c r="J35" s="311"/>
      <c r="K35" s="315" t="s">
        <v>174</v>
      </c>
      <c r="L35" s="316"/>
      <c r="M35" s="316"/>
      <c r="N35" s="316"/>
      <c r="O35" s="316"/>
      <c r="P35" s="316"/>
      <c r="Q35" s="317"/>
      <c r="R35" s="460"/>
      <c r="S35" s="461"/>
      <c r="T35" s="106"/>
      <c r="U35" s="106"/>
      <c r="V35" s="8" t="s">
        <v>216</v>
      </c>
      <c r="W35" s="107" t="str">
        <f>VLOOKUP(K35,リスト2!$C$3:$E$65,2,FALSE)</f>
        <v>-</v>
      </c>
      <c r="X35" s="108"/>
      <c r="Z35" s="109" t="s">
        <v>155</v>
      </c>
      <c r="AA35" s="110" t="s">
        <v>327</v>
      </c>
      <c r="AB35" s="110" t="s">
        <v>229</v>
      </c>
      <c r="AC35" s="111">
        <f>IF(K35="-",0,MAX(AC36:AC39))</f>
        <v>0</v>
      </c>
      <c r="AE35" s="109" t="s">
        <v>155</v>
      </c>
      <c r="AF35" s="110" t="s">
        <v>229</v>
      </c>
      <c r="AG35" s="111">
        <f>IF(K38="-",0,MAX(AG36:AG39))</f>
        <v>0</v>
      </c>
      <c r="AH35" s="24">
        <f>AC35-AG35</f>
        <v>0</v>
      </c>
      <c r="AJ35" s="60">
        <v>30</v>
      </c>
      <c r="AK35" s="60" t="s">
        <v>151</v>
      </c>
      <c r="AL35" s="60" t="s">
        <v>3</v>
      </c>
      <c r="AM35" s="26">
        <v>1.5</v>
      </c>
      <c r="AO35" s="101" t="s">
        <v>208</v>
      </c>
      <c r="AQ35" s="180" t="str">
        <f>IF(Y33=1,MAX(AG31:AG33),"-")</f>
        <v>-</v>
      </c>
      <c r="AS35" s="38">
        <f>IF($W37="同一市町村",1,10)</f>
        <v>10</v>
      </c>
      <c r="AT35" s="38">
        <f>IF($W40="同一市町村",1,10)</f>
        <v>10</v>
      </c>
    </row>
    <row r="36" spans="1:60" ht="32.1" customHeight="1" thickBot="1" x14ac:dyDescent="0.25">
      <c r="A36" s="48"/>
      <c r="B36" s="302"/>
      <c r="C36" s="330"/>
      <c r="D36" s="331"/>
      <c r="E36" s="335"/>
      <c r="F36" s="338"/>
      <c r="G36" s="478" t="s">
        <v>273</v>
      </c>
      <c r="H36" s="440"/>
      <c r="I36" s="311" t="s">
        <v>365</v>
      </c>
      <c r="J36" s="311"/>
      <c r="K36" s="312" t="s">
        <v>174</v>
      </c>
      <c r="L36" s="313"/>
      <c r="M36" s="313"/>
      <c r="N36" s="313"/>
      <c r="O36" s="313"/>
      <c r="P36" s="313"/>
      <c r="Q36" s="314"/>
      <c r="R36" s="460"/>
      <c r="S36" s="461"/>
      <c r="T36" s="106"/>
      <c r="U36" s="106"/>
      <c r="V36" s="8" t="s">
        <v>217</v>
      </c>
      <c r="W36" s="107" t="str">
        <f>VLOOKUP(K35,リスト2!$C$3:$E$65,3,FALSE)</f>
        <v>-</v>
      </c>
      <c r="X36" s="108"/>
      <c r="Z36" s="82">
        <f>IF(OR(K35='1.基本データ(このシートは削除しないこと！)'!D19,K35='1.基本データ(このシートは削除しないこと！)'!E19),40,0)</f>
        <v>40</v>
      </c>
      <c r="AA36" s="82">
        <f>IF(OR(K36="本店"),2,0)</f>
        <v>0</v>
      </c>
      <c r="AB36" s="82">
        <f>IF(OR(K36="準本店"),1,0)</f>
        <v>0</v>
      </c>
      <c r="AC36" s="82">
        <f>SUM(Z36:AB36)</f>
        <v>40</v>
      </c>
      <c r="AD36" s="30" t="s">
        <v>158</v>
      </c>
      <c r="AE36" s="82">
        <f>IF(OR(K38='1.基本データ(このシートは削除しないこと！)'!D19,'3.様式第11号-1(特別簡易型)'!K38='1.基本データ(このシートは削除しないこと！)'!E19),40,0)</f>
        <v>40</v>
      </c>
      <c r="AF36" s="82">
        <f>IF(K39="準本店",1,0)</f>
        <v>0</v>
      </c>
      <c r="AG36" s="82">
        <f>SUM(AE36:AF36)</f>
        <v>40</v>
      </c>
      <c r="AH36" s="30" t="s">
        <v>158</v>
      </c>
      <c r="AJ36" s="60">
        <v>22</v>
      </c>
      <c r="AK36" s="60" t="s">
        <v>152</v>
      </c>
      <c r="AL36" s="60" t="s">
        <v>176</v>
      </c>
      <c r="AM36" s="26">
        <v>2</v>
      </c>
      <c r="AO36" s="202" t="e">
        <f>VLOOKUP(AC35,AJ30:AL41,3,FALSE)</f>
        <v>#N/A</v>
      </c>
      <c r="AS36" s="38">
        <f>IF($W37="同一土木",2,10)</f>
        <v>10</v>
      </c>
      <c r="AT36" s="104">
        <f>IF($W40="同一土木",2,10)</f>
        <v>10</v>
      </c>
      <c r="AU36" s="105"/>
      <c r="AV36" s="86"/>
    </row>
    <row r="37" spans="1:60" ht="32.1" customHeight="1" thickBot="1" x14ac:dyDescent="0.25">
      <c r="A37" s="48"/>
      <c r="B37" s="302"/>
      <c r="C37" s="330"/>
      <c r="D37" s="331"/>
      <c r="E37" s="335"/>
      <c r="F37" s="338"/>
      <c r="G37" s="350" t="s">
        <v>232</v>
      </c>
      <c r="H37" s="351"/>
      <c r="I37" s="351"/>
      <c r="J37" s="351"/>
      <c r="K37" s="351"/>
      <c r="L37" s="351"/>
      <c r="M37" s="351"/>
      <c r="N37" s="351"/>
      <c r="O37" s="351"/>
      <c r="P37" s="351"/>
      <c r="Q37" s="352"/>
      <c r="R37" s="460"/>
      <c r="S37" s="461"/>
      <c r="T37" s="106"/>
      <c r="U37" s="106"/>
      <c r="V37" s="8" t="s">
        <v>221</v>
      </c>
      <c r="W37" s="9" t="str">
        <f>IF(K35="-","-",VLOOKUP($AC$35,AJ29:AM41,2,FALSE))</f>
        <v>-</v>
      </c>
      <c r="X37" s="9" t="str">
        <f>IF(K36="本店","本店",IF(K36="準本店","準本店","支店等"))</f>
        <v>支店等</v>
      </c>
      <c r="Z37" s="60">
        <f>IF(OR(W35='1.基本データ(このシートは削除しないこと！)'!D20,W35='1.基本データ(このシートは削除しないこと！)'!E20),30,0)</f>
        <v>30</v>
      </c>
      <c r="AA37" s="60">
        <f>IF(OR(K36="本店"),2,0)</f>
        <v>0</v>
      </c>
      <c r="AB37" s="60">
        <f>IF(OR(K36="準本店"),1,0)</f>
        <v>0</v>
      </c>
      <c r="AC37" s="82">
        <f t="shared" ref="AC37:AC39" si="4">SUM(Z37:AB37)</f>
        <v>30</v>
      </c>
      <c r="AD37" s="30" t="s">
        <v>159</v>
      </c>
      <c r="AE37" s="60">
        <f>IF(OR(W38='1.基本データ(このシートは削除しないこと！)'!D20,'3.様式第11号-1(特別簡易型)'!W38='1.基本データ(このシートは削除しないこと！)'!E20),30,0)</f>
        <v>30</v>
      </c>
      <c r="AF37" s="82">
        <f>IF(K39="準本店",1,0)</f>
        <v>0</v>
      </c>
      <c r="AG37" s="82">
        <f>SUM(AE37:AF37)</f>
        <v>30</v>
      </c>
      <c r="AH37" s="30" t="s">
        <v>159</v>
      </c>
      <c r="AJ37" s="60">
        <v>21</v>
      </c>
      <c r="AK37" s="60" t="s">
        <v>152</v>
      </c>
      <c r="AL37" s="60" t="s">
        <v>29</v>
      </c>
      <c r="AM37" s="26">
        <v>1</v>
      </c>
      <c r="AO37" s="203" t="s">
        <v>153</v>
      </c>
      <c r="AP37" s="204"/>
      <c r="AS37" s="38">
        <f>IF($W37="同一建設",3,10)</f>
        <v>10</v>
      </c>
      <c r="AT37" s="38">
        <f>IF($W40="同一建設",3,10)</f>
        <v>10</v>
      </c>
    </row>
    <row r="38" spans="1:60" ht="32.1" customHeight="1" thickBot="1" x14ac:dyDescent="0.25">
      <c r="A38" s="48"/>
      <c r="B38" s="302"/>
      <c r="C38" s="330"/>
      <c r="D38" s="331"/>
      <c r="E38" s="335"/>
      <c r="F38" s="338"/>
      <c r="G38" s="355" t="s">
        <v>274</v>
      </c>
      <c r="H38" s="356"/>
      <c r="I38" s="311" t="s">
        <v>365</v>
      </c>
      <c r="J38" s="311"/>
      <c r="K38" s="315" t="s">
        <v>174</v>
      </c>
      <c r="L38" s="316"/>
      <c r="M38" s="316"/>
      <c r="N38" s="316"/>
      <c r="O38" s="316"/>
      <c r="P38" s="316"/>
      <c r="Q38" s="317"/>
      <c r="R38" s="460"/>
      <c r="S38" s="461"/>
      <c r="T38" s="106"/>
      <c r="U38" s="106"/>
      <c r="V38" s="8" t="s">
        <v>222</v>
      </c>
      <c r="W38" s="107" t="str">
        <f>VLOOKUP(K38,リスト2!$C$3:$E$65,2,FALSE)</f>
        <v>-</v>
      </c>
      <c r="X38" s="107" t="str">
        <f>IF(K39="準本店","準本店","-")</f>
        <v>-</v>
      </c>
      <c r="Z38" s="60">
        <f>IF(OR(W36='1.基本データ(このシートは削除しないこと！)'!D21,W36='1.基本データ(このシートは削除しないこと！)'!E21),20,0)</f>
        <v>20</v>
      </c>
      <c r="AA38" s="60">
        <f>IF(OR(K36="本店"),2,0)</f>
        <v>0</v>
      </c>
      <c r="AB38" s="60">
        <f>IF(OR(K36="準本店"),1,0)</f>
        <v>0</v>
      </c>
      <c r="AC38" s="82">
        <f t="shared" si="4"/>
        <v>20</v>
      </c>
      <c r="AD38" s="30" t="s">
        <v>160</v>
      </c>
      <c r="AE38" s="60">
        <f>IF(OR(W39='1.基本データ(このシートは削除しないこと！)'!D21,'3.様式第11号-1(特別簡易型)'!W39='1.基本データ(このシートは削除しないこと！)'!E21),20,0)</f>
        <v>20</v>
      </c>
      <c r="AF38" s="60">
        <f>IF(K39="準本店",1,0)</f>
        <v>0</v>
      </c>
      <c r="AG38" s="82">
        <f>SUM(AE38:AF38)</f>
        <v>20</v>
      </c>
      <c r="AH38" s="30" t="s">
        <v>160</v>
      </c>
      <c r="AJ38" s="60">
        <v>20</v>
      </c>
      <c r="AK38" s="60" t="s">
        <v>152</v>
      </c>
      <c r="AL38" s="60" t="s">
        <v>3</v>
      </c>
      <c r="AM38" s="26">
        <v>0.5</v>
      </c>
      <c r="AO38" s="205" t="s">
        <v>156</v>
      </c>
      <c r="AP38" s="205" t="s">
        <v>154</v>
      </c>
      <c r="AS38" s="38">
        <f>IF($W37="県内",4,10)</f>
        <v>10</v>
      </c>
      <c r="AT38" s="38">
        <f>IF($W40="県内",4,10)</f>
        <v>10</v>
      </c>
    </row>
    <row r="39" spans="1:60" ht="32.1" customHeight="1" thickTop="1" thickBot="1" x14ac:dyDescent="0.25">
      <c r="A39" s="48"/>
      <c r="B39" s="302"/>
      <c r="C39" s="330"/>
      <c r="D39" s="331"/>
      <c r="E39" s="335"/>
      <c r="F39" s="338"/>
      <c r="G39" s="353" t="s">
        <v>275</v>
      </c>
      <c r="H39" s="354"/>
      <c r="I39" s="311" t="s">
        <v>365</v>
      </c>
      <c r="J39" s="311"/>
      <c r="K39" s="312" t="s">
        <v>174</v>
      </c>
      <c r="L39" s="313"/>
      <c r="M39" s="313"/>
      <c r="N39" s="313"/>
      <c r="O39" s="313"/>
      <c r="P39" s="313"/>
      <c r="Q39" s="314"/>
      <c r="R39" s="460"/>
      <c r="S39" s="461"/>
      <c r="T39" s="114"/>
      <c r="U39" s="114"/>
      <c r="V39" s="8" t="s">
        <v>217</v>
      </c>
      <c r="W39" s="107" t="str">
        <f>VLOOKUP(K38,リスト2!$C$3:$E$65,3,FALSE)</f>
        <v>-</v>
      </c>
      <c r="X39" s="107" t="str">
        <f>IF(K39="準本店","準本店","-")</f>
        <v>-</v>
      </c>
      <c r="Z39" s="60">
        <f>IF(OR(W36='1.基本データ(このシートは削除しないこと！)'!D21,W36='1.基本データ(このシートは削除しないこと！)'!E21),0,10)</f>
        <v>0</v>
      </c>
      <c r="AA39" s="60">
        <f>IF(OR(K36="本店"),2,0)</f>
        <v>0</v>
      </c>
      <c r="AB39" s="60">
        <f>IF(OR(K36="準本店"),1,0)</f>
        <v>0</v>
      </c>
      <c r="AC39" s="82">
        <f t="shared" si="4"/>
        <v>0</v>
      </c>
      <c r="AD39" s="30" t="s">
        <v>157</v>
      </c>
      <c r="AE39" s="60">
        <f>IF(OR(W39='1.基本データ(このシートは削除しないこと！)'!D21,'3.様式第11号-1(特別簡易型)'!W39='1.基本データ(このシートは削除しないこと！)'!E21),0,10)</f>
        <v>0</v>
      </c>
      <c r="AF39" s="60">
        <f>IF(K39="準本店",1,0)</f>
        <v>0</v>
      </c>
      <c r="AG39" s="60">
        <f>SUM(AE39:AF39)</f>
        <v>0</v>
      </c>
      <c r="AH39" s="30" t="s">
        <v>157</v>
      </c>
      <c r="AJ39" s="60">
        <v>12</v>
      </c>
      <c r="AK39" s="60" t="s">
        <v>4</v>
      </c>
      <c r="AL39" s="60" t="s">
        <v>176</v>
      </c>
      <c r="AM39" s="26">
        <v>2</v>
      </c>
      <c r="AN39" s="206" t="s">
        <v>294</v>
      </c>
      <c r="AO39" s="26" t="e">
        <f>IF(AND('1.基本データ(このシートは削除しないこと！)'!H17=2,AC35&gt;=30),VLOOKUP($AC$35,$AJ$29:$AM$35,4,0),0)</f>
        <v>#N/A</v>
      </c>
      <c r="AP39" s="26" t="e">
        <f>IF(AND('1.基本データ(このシートは削除しないこと！)'!H17=2,AG35&gt;=30),VLOOKUP($AG$35,$AJ$29:$AM$35,4,0),0)</f>
        <v>#N/A</v>
      </c>
      <c r="AS39" s="112">
        <f>MIN(AS35:AS38)</f>
        <v>10</v>
      </c>
      <c r="AT39" s="112">
        <f>MIN(AT35:AT38)</f>
        <v>10</v>
      </c>
      <c r="AU39" s="87"/>
      <c r="AV39" s="113"/>
    </row>
    <row r="40" spans="1:60" ht="21.6" customHeight="1" thickBot="1" x14ac:dyDescent="0.25">
      <c r="A40" s="48"/>
      <c r="B40" s="302"/>
      <c r="C40" s="330"/>
      <c r="D40" s="331"/>
      <c r="E40" s="335"/>
      <c r="F40" s="338"/>
      <c r="G40" s="357" t="s">
        <v>276</v>
      </c>
      <c r="H40" s="358"/>
      <c r="I40" s="358"/>
      <c r="J40" s="23"/>
      <c r="K40" s="342" t="str">
        <f>IF(K35="-","-",W41)</f>
        <v>-</v>
      </c>
      <c r="L40" s="343"/>
      <c r="M40" s="343"/>
      <c r="N40" s="343"/>
      <c r="O40" s="343"/>
      <c r="P40" s="343"/>
      <c r="Q40" s="344"/>
      <c r="R40" s="460"/>
      <c r="S40" s="461"/>
      <c r="T40" s="114"/>
      <c r="U40" s="114"/>
      <c r="V40" s="10" t="s">
        <v>221</v>
      </c>
      <c r="W40" s="11" t="str">
        <f>IF(K38="-","-",VLOOKUP(AG35,AJ29:AM41,2,FALSE))</f>
        <v>-</v>
      </c>
      <c r="X40" s="11" t="str">
        <f>IF(K38="-","-",VLOOKUP($AG$35,AJ29:AM40,3,FALSE))</f>
        <v>-</v>
      </c>
      <c r="Y40" s="116"/>
      <c r="Z40" s="117"/>
      <c r="AE40" s="69"/>
      <c r="AF40" s="69"/>
      <c r="AG40" s="69"/>
      <c r="AH40" s="101"/>
      <c r="AJ40" s="60">
        <v>11</v>
      </c>
      <c r="AK40" s="60" t="s">
        <v>4</v>
      </c>
      <c r="AL40" s="60" t="s">
        <v>29</v>
      </c>
      <c r="AM40" s="26">
        <v>1</v>
      </c>
      <c r="AN40" s="206" t="s">
        <v>295</v>
      </c>
      <c r="AO40" s="26" t="e">
        <f>IF(AND('1.基本データ(このシートは削除しないこと！)'!H17=3,AC35&gt;=20),VLOOKUP($AC$35,$AJ$29:$AM$38,4,0),0)</f>
        <v>#N/A</v>
      </c>
      <c r="AP40" s="26" t="e">
        <f>IF(AND('1.基本データ(このシートは削除しないこと！)'!H17=3,AG35&gt;=20),VLOOKUP($AG35,$AJ$29:$AM$38,4,0),0)</f>
        <v>#N/A</v>
      </c>
      <c r="AQ40" s="181" t="s">
        <v>173</v>
      </c>
      <c r="AT40" s="38">
        <f>MIN(AS39:AT39)</f>
        <v>10</v>
      </c>
      <c r="AU40" s="86" t="s">
        <v>200</v>
      </c>
    </row>
    <row r="41" spans="1:60" ht="28.8" customHeight="1" thickBot="1" x14ac:dyDescent="0.25">
      <c r="A41" s="48"/>
      <c r="B41" s="303"/>
      <c r="C41" s="332"/>
      <c r="D41" s="333"/>
      <c r="E41" s="336"/>
      <c r="F41" s="339"/>
      <c r="G41" s="359" t="s">
        <v>366</v>
      </c>
      <c r="H41" s="360"/>
      <c r="I41" s="360"/>
      <c r="J41" s="361"/>
      <c r="K41" s="347" t="str">
        <f>IF(K36="-","-",X41)</f>
        <v>-</v>
      </c>
      <c r="L41" s="348"/>
      <c r="M41" s="348"/>
      <c r="N41" s="348"/>
      <c r="O41" s="348"/>
      <c r="P41" s="348"/>
      <c r="Q41" s="349"/>
      <c r="R41" s="462"/>
      <c r="S41" s="463"/>
      <c r="T41" s="114"/>
      <c r="U41" s="114"/>
      <c r="V41" s="8" t="s">
        <v>233</v>
      </c>
      <c r="W41" s="118" t="str">
        <f>IF(AH35&gt;=0,W37,W40)</f>
        <v>-</v>
      </c>
      <c r="X41" s="118" t="str">
        <f>IF(AH35&gt;=0,X37,X40)</f>
        <v>支店等</v>
      </c>
      <c r="Y41" s="119"/>
      <c r="Z41" s="117"/>
      <c r="AE41" s="69"/>
      <c r="AF41" s="69"/>
      <c r="AG41" s="69"/>
      <c r="AH41" s="101"/>
      <c r="AJ41" s="60">
        <v>10</v>
      </c>
      <c r="AK41" s="60" t="s">
        <v>4</v>
      </c>
      <c r="AL41" s="60" t="s">
        <v>3</v>
      </c>
      <c r="AM41" s="26">
        <v>0.5</v>
      </c>
      <c r="AN41" s="206" t="s">
        <v>296</v>
      </c>
      <c r="AO41" s="26" t="e">
        <f>IF(AND('1.基本データ(このシートは削除しないこと！)'!H17=4,AC35&gt;=10),VLOOKUP($AC$35,$AJ$29:$AM$41,4,0),0)</f>
        <v>#N/A</v>
      </c>
      <c r="AP41" s="26" t="e">
        <f>IF(AND('1.基本データ(このシートは削除しないこと！)'!H17=4,AG35&gt;=10),VLOOKUP($AG$35,$AJ$29:$AM$41,4,0),0)</f>
        <v>#N/A</v>
      </c>
      <c r="AQ41" s="207" t="e">
        <f>MAX(AO39:AP41)</f>
        <v>#N/A</v>
      </c>
      <c r="AT41" s="24" t="e">
        <f>IF(AT40&lt;='1.基本データ(このシートは削除しないこと！)'!H17,1,0)</f>
        <v>#N/A</v>
      </c>
      <c r="AU41" s="30" t="s">
        <v>224</v>
      </c>
    </row>
    <row r="42" spans="1:60" ht="24" customHeight="1" thickBot="1" x14ac:dyDescent="0.25">
      <c r="A42" s="48"/>
      <c r="B42" s="340" t="e">
        <f>IF(AND(K35&lt;&gt;"-",AS43=0),"※入札参加者の所在地が地域要件ごとの評価対象エリア外のため、「ボランティア活動」と「選択項目」は評価対象外です。","")</f>
        <v>#N/A</v>
      </c>
      <c r="C42" s="340"/>
      <c r="D42" s="340"/>
      <c r="E42" s="340"/>
      <c r="F42" s="340"/>
      <c r="G42" s="340"/>
      <c r="H42" s="340"/>
      <c r="I42" s="341"/>
      <c r="J42" s="341"/>
      <c r="K42" s="341"/>
      <c r="L42" s="341"/>
      <c r="M42" s="341"/>
      <c r="N42" s="341"/>
      <c r="O42" s="341"/>
      <c r="P42" s="341"/>
      <c r="Q42" s="341"/>
      <c r="R42" s="341"/>
      <c r="S42" s="340"/>
      <c r="T42" s="114"/>
      <c r="U42" s="114"/>
      <c r="V42" s="69"/>
      <c r="W42" s="120"/>
      <c r="X42" s="121"/>
      <c r="Y42" s="121"/>
      <c r="Z42" s="122"/>
      <c r="AD42" s="69"/>
      <c r="AE42" s="69"/>
      <c r="AF42" s="69"/>
      <c r="AG42" s="101"/>
      <c r="AJ42" s="69"/>
      <c r="AK42" s="69"/>
      <c r="AL42" s="69"/>
      <c r="AM42" s="69"/>
      <c r="AN42" s="69"/>
      <c r="AO42" s="69"/>
      <c r="AR42" s="464" t="s">
        <v>359</v>
      </c>
      <c r="AS42" s="30" t="s">
        <v>225</v>
      </c>
    </row>
    <row r="43" spans="1:60" ht="32.1" customHeight="1" thickBot="1" x14ac:dyDescent="0.25">
      <c r="A43" s="48"/>
      <c r="B43" s="299" t="s">
        <v>370</v>
      </c>
      <c r="C43" s="299"/>
      <c r="D43" s="299"/>
      <c r="E43" s="54" t="s">
        <v>175</v>
      </c>
      <c r="F43" s="55" t="s">
        <v>1</v>
      </c>
      <c r="G43" s="479" t="s">
        <v>367</v>
      </c>
      <c r="H43" s="480"/>
      <c r="I43" s="480"/>
      <c r="J43" s="480"/>
      <c r="K43" s="480"/>
      <c r="L43" s="480"/>
      <c r="M43" s="480"/>
      <c r="N43" s="480"/>
      <c r="O43" s="480"/>
      <c r="P43" s="480"/>
      <c r="Q43" s="481"/>
      <c r="R43" s="29" t="s">
        <v>237</v>
      </c>
      <c r="S43" s="123" t="s">
        <v>238</v>
      </c>
      <c r="T43" s="114"/>
      <c r="U43" s="114"/>
      <c r="V43" s="124" t="s">
        <v>167</v>
      </c>
      <c r="W43" s="124" t="s">
        <v>209</v>
      </c>
      <c r="X43" s="124" t="s">
        <v>226</v>
      </c>
      <c r="Y43" s="125" t="s">
        <v>161</v>
      </c>
      <c r="Z43" s="126" t="s">
        <v>163</v>
      </c>
      <c r="AA43" s="127" t="s">
        <v>162</v>
      </c>
      <c r="AB43" s="126" t="s">
        <v>164</v>
      </c>
      <c r="AC43" s="127" t="s">
        <v>165</v>
      </c>
      <c r="AD43" s="128" t="s">
        <v>166</v>
      </c>
      <c r="AE43" s="128" t="s">
        <v>210</v>
      </c>
      <c r="AF43" s="208" t="s">
        <v>298</v>
      </c>
      <c r="AG43" s="129" t="s">
        <v>168</v>
      </c>
      <c r="AH43" s="129" t="s">
        <v>169</v>
      </c>
      <c r="AI43" s="129" t="s">
        <v>211</v>
      </c>
      <c r="AK43" s="129" t="s">
        <v>171</v>
      </c>
      <c r="AL43" s="129" t="s">
        <v>172</v>
      </c>
      <c r="AM43" s="129" t="s">
        <v>211</v>
      </c>
      <c r="AN43" s="209" t="s">
        <v>294</v>
      </c>
      <c r="AO43" s="209" t="s">
        <v>297</v>
      </c>
      <c r="AP43" s="210" t="s">
        <v>296</v>
      </c>
      <c r="AQ43" s="181" t="s">
        <v>173</v>
      </c>
      <c r="AR43" s="464"/>
      <c r="AS43" s="24" t="e">
        <f>IF(AS39&lt;'1.基本データ(このシートは削除しないこと！)'!H17+1,1,0)</f>
        <v>#N/A</v>
      </c>
      <c r="AT43" s="30" t="s">
        <v>201</v>
      </c>
      <c r="AV43" s="69"/>
      <c r="AW43" s="69"/>
      <c r="AX43" s="69"/>
      <c r="AY43" s="69"/>
      <c r="AZ43" s="69"/>
      <c r="BA43" s="69"/>
      <c r="BB43" s="69"/>
    </row>
    <row r="44" spans="1:60" ht="34.950000000000003" customHeight="1" thickBot="1" x14ac:dyDescent="0.25">
      <c r="A44" s="48"/>
      <c r="B44" s="367" t="s">
        <v>196</v>
      </c>
      <c r="C44" s="364" t="s">
        <v>281</v>
      </c>
      <c r="D44" s="365"/>
      <c r="E44" s="130">
        <f>AG44</f>
        <v>0.5</v>
      </c>
      <c r="F44" s="190" t="e">
        <f>IF(OR($AS$43=0,V44=0),"-",AQ44)</f>
        <v>#N/A</v>
      </c>
      <c r="G44" s="470" t="s">
        <v>383</v>
      </c>
      <c r="H44" s="482"/>
      <c r="I44" s="482"/>
      <c r="J44" s="482"/>
      <c r="K44" s="482"/>
      <c r="L44" s="482"/>
      <c r="M44" s="482"/>
      <c r="N44" s="482"/>
      <c r="O44" s="482"/>
      <c r="P44" s="482"/>
      <c r="Q44" s="482"/>
      <c r="R44" s="252" t="s">
        <v>174</v>
      </c>
      <c r="S44" s="167" t="s">
        <v>174</v>
      </c>
      <c r="T44" s="114"/>
      <c r="U44" s="114"/>
      <c r="V44" s="60">
        <f t="shared" ref="V44:V49" si="5">IF(R44="有",1,0)</f>
        <v>0</v>
      </c>
      <c r="W44" s="115"/>
      <c r="X44" s="60">
        <f t="shared" ref="X44:X53" si="6">IF(S44="-",0,1)</f>
        <v>0</v>
      </c>
      <c r="Y44" s="131">
        <f>IF(OR(S44='1.基本データ(このシートは削除しないこと！)'!$D$19,'3.様式第11号-1(特別簡易型)'!S44='1.基本データ(このシートは削除しないこと！)'!$E$19),1,0)</f>
        <v>1</v>
      </c>
      <c r="Z44" s="132" t="str">
        <f>VLOOKUP(S44,リスト2!$C$3:$E$65,2,FALSE)</f>
        <v>-</v>
      </c>
      <c r="AA44" s="133">
        <f>IF(OR(Z44='1.基本データ(このシートは削除しないこと！)'!$D$20,Z44='1.基本データ(このシートは削除しないこと！)'!$E$20),1,0)</f>
        <v>1</v>
      </c>
      <c r="AB44" s="132" t="str">
        <f>VLOOKUP(S44,リスト2!$C$3:$E$65,3,FALSE)</f>
        <v>-</v>
      </c>
      <c r="AC44" s="133">
        <f>IF(OR(AB44='1.基本データ(このシートは削除しないこと！)'!$D$21,AB44='1.基本データ(このシートは削除しないこと！)'!$E$21),1,0)</f>
        <v>1</v>
      </c>
      <c r="AD44" s="134">
        <f>Y44+AA44+AC44</f>
        <v>3</v>
      </c>
      <c r="AE44" s="134">
        <f>IF(AND('1.基本データ(このシートは削除しないこと！)'!$D$17="全国",AB44&lt;&gt;"-"),4,0)</f>
        <v>0</v>
      </c>
      <c r="AF44" s="211" t="str">
        <f>VLOOKUP(S44,リスト2!$C$3:$F$65,4,FALSE)</f>
        <v>-</v>
      </c>
      <c r="AG44" s="135">
        <v>0.5</v>
      </c>
      <c r="AH44" s="135">
        <v>0.5</v>
      </c>
      <c r="AI44" s="135">
        <v>0.5</v>
      </c>
      <c r="AK44" s="136">
        <f>IF($V44*$X44*$AD44=3,AG44,0)</f>
        <v>0</v>
      </c>
      <c r="AL44" s="136">
        <f>IF($V44*X44*$AD44=2,AH44,0)</f>
        <v>0</v>
      </c>
      <c r="AM44" s="136">
        <f>IF(OR($V44*$X44*$AD44=1,$V44*$X44*$AE44=4),AI44,0)</f>
        <v>0</v>
      </c>
      <c r="AN44" s="65" t="e">
        <f>IF('1.基本データ(このシートは削除しないこと！)'!$H$17=2,MAX(AK44:AL44),0)</f>
        <v>#N/A</v>
      </c>
      <c r="AO44" s="65" t="e">
        <f>IF('1.基本データ(このシートは削除しないこと！)'!$H$17=3,MAX(AK44:AM44),0)</f>
        <v>#N/A</v>
      </c>
      <c r="AP44" s="212" t="e">
        <f>IF(AND('1.基本データ(このシートは削除しないこと！)'!$H$17=4,AF44="県内"),V44*AI44,0)</f>
        <v>#N/A</v>
      </c>
      <c r="AQ44" s="182" t="str">
        <f>IF(V44=1,MAX(AN44:AP44),"-")</f>
        <v>-</v>
      </c>
      <c r="AR44" s="229"/>
      <c r="AS44" s="69"/>
    </row>
    <row r="45" spans="1:60" ht="34.950000000000003" customHeight="1" thickBot="1" x14ac:dyDescent="0.25">
      <c r="A45" s="48"/>
      <c r="B45" s="367"/>
      <c r="C45" s="366" t="s">
        <v>280</v>
      </c>
      <c r="D45" s="328"/>
      <c r="E45" s="194">
        <f>AG45</f>
        <v>0.5</v>
      </c>
      <c r="F45" s="222" t="str">
        <f>IF(OR(V45=0),"-",AQ45)</f>
        <v>-</v>
      </c>
      <c r="G45" s="433" t="s">
        <v>384</v>
      </c>
      <c r="H45" s="401"/>
      <c r="I45" s="401"/>
      <c r="J45" s="401"/>
      <c r="K45" s="401"/>
      <c r="L45" s="401"/>
      <c r="M45" s="401"/>
      <c r="N45" s="401"/>
      <c r="O45" s="401"/>
      <c r="P45" s="401"/>
      <c r="Q45" s="401"/>
      <c r="R45" s="252" t="s">
        <v>174</v>
      </c>
      <c r="S45" s="167" t="s">
        <v>174</v>
      </c>
      <c r="T45" s="114"/>
      <c r="U45" s="114"/>
      <c r="V45" s="60">
        <f t="shared" si="5"/>
        <v>0</v>
      </c>
      <c r="W45" s="115"/>
      <c r="X45" s="60">
        <f>IF(S45="-",0,1)</f>
        <v>0</v>
      </c>
      <c r="Y45" s="131">
        <f>IF(OR(S45='1.基本データ(このシートは削除しないこと！)'!$D$19,'3.様式第11号-1(特別簡易型)'!S45='1.基本データ(このシートは削除しないこと！)'!$E$19),1,0)</f>
        <v>1</v>
      </c>
      <c r="Z45" s="132" t="str">
        <f>VLOOKUP(S45,リスト2!$C$3:$E$65,2,FALSE)</f>
        <v>-</v>
      </c>
      <c r="AA45" s="133">
        <f>IF(OR(Z45='1.基本データ(このシートは削除しないこと！)'!$D$20,Z45='1.基本データ(このシートは削除しないこと！)'!$E$20),1,0)</f>
        <v>1</v>
      </c>
      <c r="AB45" s="132" t="str">
        <f>VLOOKUP(S45,リスト2!$C$3:$E$65,3,FALSE)</f>
        <v>-</v>
      </c>
      <c r="AC45" s="133">
        <f>IF(OR(AB45='1.基本データ(このシートは削除しないこと！)'!$D$21,AB45='1.基本データ(このシートは削除しないこと！)'!$E$21),1,0)</f>
        <v>1</v>
      </c>
      <c r="AD45" s="134">
        <f>Y45+AA45+AC45</f>
        <v>3</v>
      </c>
      <c r="AE45" s="134">
        <f>IF(AND('1.基本データ(このシートは削除しないこと！)'!$D$17="全国",AB45&lt;&gt;"-"),4,0)</f>
        <v>0</v>
      </c>
      <c r="AF45" s="211" t="str">
        <f>VLOOKUP(S45,リスト2!$C$3:$F$65,4,FALSE)</f>
        <v>-</v>
      </c>
      <c r="AG45" s="135">
        <v>0.5</v>
      </c>
      <c r="AH45" s="135">
        <v>0.5</v>
      </c>
      <c r="AI45" s="135">
        <v>0.25</v>
      </c>
      <c r="AK45" s="136">
        <f>IF($V45*$X45*$AD45=3,AG45,0)</f>
        <v>0</v>
      </c>
      <c r="AL45" s="136">
        <f>IF($V45*X45*$AD45=2,AH45,0)</f>
        <v>0</v>
      </c>
      <c r="AM45" s="136">
        <f t="shared" ref="AM45:AM54" si="7">IF(OR($V45*$X45*$AD45=1,$V45*$X45*$AE45=4),AI45,0)</f>
        <v>0</v>
      </c>
      <c r="AN45" s="65" t="e">
        <f>IF('1.基本データ(このシートは削除しないこと！)'!$H$17=2,MAX(AK45:AM45),0)</f>
        <v>#N/A</v>
      </c>
      <c r="AO45" s="65" t="e">
        <f>IF('1.基本データ(このシートは削除しないこと！)'!$H$17=3,MAX(AK45:AM45),0)</f>
        <v>#N/A</v>
      </c>
      <c r="AP45" s="212" t="e">
        <f>IF(AND('1.基本データ(このシートは削除しないこと！)'!$H$17=4,AF45="県内"),V45*AG45,0)</f>
        <v>#N/A</v>
      </c>
      <c r="AQ45" s="182" t="str">
        <f>IF(V45=1,MAX(AN45:AP45),"-")</f>
        <v>-</v>
      </c>
      <c r="AR45" s="230"/>
      <c r="AS45" s="69"/>
    </row>
    <row r="46" spans="1:60" ht="72" customHeight="1" thickBot="1" x14ac:dyDescent="0.25">
      <c r="A46" s="48"/>
      <c r="B46" s="367"/>
      <c r="C46" s="372" t="s">
        <v>239</v>
      </c>
      <c r="D46" s="381" t="s">
        <v>144</v>
      </c>
      <c r="E46" s="386">
        <v>1.75</v>
      </c>
      <c r="F46" s="383" t="e">
        <f>IF(OR($AS$43=0,AQ46=0,SUM(V46:V48)=0),"-",AS47)</f>
        <v>#N/A</v>
      </c>
      <c r="G46" s="458" t="s">
        <v>395</v>
      </c>
      <c r="H46" s="434" t="s">
        <v>376</v>
      </c>
      <c r="I46" s="434"/>
      <c r="J46" s="434"/>
      <c r="K46" s="434"/>
      <c r="L46" s="434"/>
      <c r="M46" s="434"/>
      <c r="N46" s="434"/>
      <c r="O46" s="434"/>
      <c r="P46" s="434"/>
      <c r="Q46" s="435"/>
      <c r="R46" s="226" t="s">
        <v>174</v>
      </c>
      <c r="S46" s="167" t="s">
        <v>174</v>
      </c>
      <c r="T46" s="137"/>
      <c r="U46" s="137"/>
      <c r="V46" s="138">
        <f>IF(R46="有",1,0)</f>
        <v>0</v>
      </c>
      <c r="W46" s="362">
        <f>IF(SUM(V46:V48)&gt;0,1,0)</f>
        <v>0</v>
      </c>
      <c r="X46" s="138">
        <f>IF(S46="-",0,1)</f>
        <v>0</v>
      </c>
      <c r="Y46" s="139">
        <f>IF(OR(S46='1.基本データ(このシートは削除しないこと！)'!$D$19,'3.様式第11号-1(特別簡易型)'!S46='1.基本データ(このシートは削除しないこと！)'!$E$19),1,0)</f>
        <v>1</v>
      </c>
      <c r="Z46" s="140" t="str">
        <f>VLOOKUP(S46,リスト2!$C$3:$E$65,2,FALSE)</f>
        <v>-</v>
      </c>
      <c r="AA46" s="141">
        <f>IF(OR(Z46='1.基本データ(このシートは削除しないこと！)'!$D$20,Z46='1.基本データ(このシートは削除しないこと！)'!$E$20),1,0)</f>
        <v>1</v>
      </c>
      <c r="AB46" s="140" t="str">
        <f>VLOOKUP(S46,リスト2!$C$3:$E$65,3,FALSE)</f>
        <v>-</v>
      </c>
      <c r="AC46" s="141">
        <f>IF(OR(AB46='1.基本データ(このシートは削除しないこと！)'!$D$21,AB46='1.基本データ(このシートは削除しないこと！)'!$E$21),1,0)</f>
        <v>1</v>
      </c>
      <c r="AD46" s="142">
        <f t="shared" ref="AD46:AD48" si="8">Y46+AA46+AC46</f>
        <v>3</v>
      </c>
      <c r="AE46" s="134">
        <f>IF(AND('1.基本データ(このシートは削除しないこと！)'!$D$17="全国",AB46&lt;&gt;"-"),4,0)</f>
        <v>0</v>
      </c>
      <c r="AF46" s="211" t="str">
        <f>VLOOKUP(S46,リスト2!$C$3:$F$65,4,FALSE)</f>
        <v>-</v>
      </c>
      <c r="AG46" s="143">
        <v>1.5</v>
      </c>
      <c r="AH46" s="144">
        <v>1.5</v>
      </c>
      <c r="AI46" s="144">
        <v>1.5</v>
      </c>
      <c r="AK46" s="145">
        <f>IF($V46*X46*$AD46=3,AG46,0)</f>
        <v>0</v>
      </c>
      <c r="AL46" s="136">
        <f>IF($V46*X46*$AD46=2,AH46,0)</f>
        <v>0</v>
      </c>
      <c r="AM46" s="136">
        <f t="shared" si="7"/>
        <v>0</v>
      </c>
      <c r="AN46" s="213" t="e">
        <f>IF('1.基本データ(このシートは削除しないこと！)'!$H$17=2,MAX(AK46:AL46),0)</f>
        <v>#N/A</v>
      </c>
      <c r="AO46" s="213" t="e">
        <f>IF('1.基本データ(このシートは削除しないこと！)'!$H$17=3,MAX(AK46:AM46),0)</f>
        <v>#N/A</v>
      </c>
      <c r="AP46" s="214" t="e">
        <f>IF(AND('1.基本データ(このシートは削除しないこと！)'!$H$17=4,AF46="県内"),V46*AI46,0)</f>
        <v>#N/A</v>
      </c>
      <c r="AQ46" s="306" t="e">
        <f>IF(W46&lt;=2,MAX(AN46:AP48),"-")</f>
        <v>#N/A</v>
      </c>
      <c r="AR46" s="465" t="e">
        <f>AQ46+0.25</f>
        <v>#N/A</v>
      </c>
      <c r="AS46" s="69"/>
    </row>
    <row r="47" spans="1:60" ht="35.4" customHeight="1" thickBot="1" x14ac:dyDescent="0.25">
      <c r="A47" s="48"/>
      <c r="B47" s="367"/>
      <c r="C47" s="373"/>
      <c r="D47" s="331"/>
      <c r="E47" s="387"/>
      <c r="F47" s="384"/>
      <c r="G47" s="459"/>
      <c r="H47" s="355" t="s">
        <v>377</v>
      </c>
      <c r="I47" s="355"/>
      <c r="J47" s="355"/>
      <c r="K47" s="355"/>
      <c r="L47" s="355"/>
      <c r="M47" s="355"/>
      <c r="N47" s="355"/>
      <c r="O47" s="355"/>
      <c r="P47" s="355"/>
      <c r="Q47" s="356"/>
      <c r="R47" s="226" t="s">
        <v>174</v>
      </c>
      <c r="S47" s="167" t="s">
        <v>174</v>
      </c>
      <c r="T47" s="137"/>
      <c r="U47" s="137"/>
      <c r="V47" s="138">
        <f t="shared" si="5"/>
        <v>0</v>
      </c>
      <c r="W47" s="377"/>
      <c r="X47" s="138">
        <f t="shared" ref="X47:X48" si="9">IF(S47="-",0,1)</f>
        <v>0</v>
      </c>
      <c r="Y47" s="139">
        <f>IF(OR(S47='1.基本データ(このシートは削除しないこと！)'!$D$19,'3.様式第11号-1(特別簡易型)'!S47='1.基本データ(このシートは削除しないこと！)'!$E$19),1,0)</f>
        <v>1</v>
      </c>
      <c r="Z47" s="140" t="str">
        <f>VLOOKUP(S47,リスト2!$C$3:$E$65,2,FALSE)</f>
        <v>-</v>
      </c>
      <c r="AA47" s="141">
        <f>IF(OR(Z47='1.基本データ(このシートは削除しないこと！)'!$D$20,Z47='1.基本データ(このシートは削除しないこと！)'!$E$20),1,0)</f>
        <v>1</v>
      </c>
      <c r="AB47" s="140" t="str">
        <f>VLOOKUP(S47,リスト2!$C$3:$E$65,3,FALSE)</f>
        <v>-</v>
      </c>
      <c r="AC47" s="141">
        <f>IF(OR(AB47='1.基本データ(このシートは削除しないこと！)'!$D$21,AB47='1.基本データ(このシートは削除しないこと！)'!$E$21),1,0)</f>
        <v>1</v>
      </c>
      <c r="AD47" s="142">
        <f t="shared" si="8"/>
        <v>3</v>
      </c>
      <c r="AE47" s="134">
        <f>IF(AND('1.基本データ(このシートは削除しないこと！)'!$D$17="全国",AB47&lt;&gt;"-"),4,0)</f>
        <v>0</v>
      </c>
      <c r="AF47" s="211" t="str">
        <f>VLOOKUP(S47,リスト2!$C$3:$F$65,4,FALSE)</f>
        <v>-</v>
      </c>
      <c r="AG47" s="143">
        <v>1.25</v>
      </c>
      <c r="AH47" s="144">
        <v>1.25</v>
      </c>
      <c r="AI47" s="144">
        <v>1.25</v>
      </c>
      <c r="AK47" s="145">
        <f>IF($V47*X47*$AD47=3,AG47,0)</f>
        <v>0</v>
      </c>
      <c r="AL47" s="136">
        <f t="shared" ref="AL47:AL54" si="10">IF($V47*X47*$AD47=2,AH47,0)</f>
        <v>0</v>
      </c>
      <c r="AM47" s="136">
        <f t="shared" si="7"/>
        <v>0</v>
      </c>
      <c r="AN47" s="215" t="e">
        <f>IF('1.基本データ(このシートは削除しないこと！)'!$H$17=2,MAX(AK47:AL47),0)</f>
        <v>#N/A</v>
      </c>
      <c r="AO47" s="215" t="e">
        <f>IF('1.基本データ(このシートは削除しないこと！)'!$H$17=3,MAX(AK47:AM47),0)</f>
        <v>#N/A</v>
      </c>
      <c r="AP47" s="216" t="e">
        <f>IF(AND('1.基本データ(このシートは削除しないこと！)'!$H$17=4,AF47="県内"),V47*AI47,0)</f>
        <v>#N/A</v>
      </c>
      <c r="AQ47" s="307"/>
      <c r="AR47" s="465"/>
      <c r="AS47" s="236" t="str">
        <f>IF(AS48=1,MAX(AQ46:AR46),IF(AS48=2,MIN(AQ46:AR46),"-"))</f>
        <v>-</v>
      </c>
      <c r="BE47" s="225"/>
      <c r="BF47" s="225"/>
      <c r="BG47" s="225"/>
      <c r="BH47" s="225"/>
    </row>
    <row r="48" spans="1:60" ht="58.8" customHeight="1" thickBot="1" x14ac:dyDescent="0.25">
      <c r="A48" s="48"/>
      <c r="B48" s="367"/>
      <c r="C48" s="373"/>
      <c r="D48" s="333"/>
      <c r="E48" s="388"/>
      <c r="F48" s="385"/>
      <c r="G48" s="254" t="s">
        <v>174</v>
      </c>
      <c r="H48" s="382" t="s">
        <v>378</v>
      </c>
      <c r="I48" s="355"/>
      <c r="J48" s="355"/>
      <c r="K48" s="355"/>
      <c r="L48" s="355"/>
      <c r="M48" s="355"/>
      <c r="N48" s="355"/>
      <c r="O48" s="355"/>
      <c r="P48" s="355"/>
      <c r="Q48" s="356"/>
      <c r="R48" s="226" t="s">
        <v>174</v>
      </c>
      <c r="S48" s="167" t="s">
        <v>174</v>
      </c>
      <c r="T48" s="137"/>
      <c r="U48" s="137"/>
      <c r="V48" s="138">
        <f t="shared" si="5"/>
        <v>0</v>
      </c>
      <c r="W48" s="363"/>
      <c r="X48" s="138">
        <f t="shared" si="9"/>
        <v>0</v>
      </c>
      <c r="Y48" s="139">
        <f>IF(OR(S48='1.基本データ(このシートは削除しないこと！)'!$D$19,'3.様式第11号-1(特別簡易型)'!S48='1.基本データ(このシートは削除しないこと！)'!$E$19),1,0)</f>
        <v>1</v>
      </c>
      <c r="Z48" s="140" t="str">
        <f>VLOOKUP(S48,リスト2!$C$3:$E$65,2,FALSE)</f>
        <v>-</v>
      </c>
      <c r="AA48" s="141">
        <f>IF(OR(Z48='1.基本データ(このシートは削除しないこと！)'!$D$20,Z48='1.基本データ(このシートは削除しないこと！)'!$E$20),1,0)</f>
        <v>1</v>
      </c>
      <c r="AB48" s="140" t="str">
        <f>VLOOKUP(S48,リスト2!$C$3:$E$65,3,FALSE)</f>
        <v>-</v>
      </c>
      <c r="AC48" s="141">
        <f>IF(OR(AB48='1.基本データ(このシートは削除しないこと！)'!$D$21,AB48='1.基本データ(このシートは削除しないこと！)'!$E$21),1,0)</f>
        <v>1</v>
      </c>
      <c r="AD48" s="142">
        <f t="shared" si="8"/>
        <v>3</v>
      </c>
      <c r="AE48" s="134">
        <f>IF(AND('1.基本データ(このシートは削除しないこと！)'!$D$17="全国",AB48&lt;&gt;"-"),4,0)</f>
        <v>0</v>
      </c>
      <c r="AF48" s="211" t="str">
        <f>VLOOKUP(S48,リスト2!$C$3:$F$65,4,FALSE)</f>
        <v>-</v>
      </c>
      <c r="AG48" s="143">
        <v>0.75</v>
      </c>
      <c r="AH48" s="144">
        <v>0.75</v>
      </c>
      <c r="AI48" s="144">
        <v>0.75</v>
      </c>
      <c r="AK48" s="145">
        <f>IF($V48*X48*$AD48=3,AG48,0)</f>
        <v>0</v>
      </c>
      <c r="AL48" s="136">
        <f t="shared" si="10"/>
        <v>0</v>
      </c>
      <c r="AM48" s="136">
        <f t="shared" si="7"/>
        <v>0</v>
      </c>
      <c r="AN48" s="217" t="e">
        <f>IF('1.基本データ(このシートは削除しないこと！)'!$H$17=2,MAX(AK48:AL48),0)</f>
        <v>#N/A</v>
      </c>
      <c r="AO48" s="217" t="e">
        <f>IF('1.基本データ(このシートは削除しないこと！)'!$H$17=3,MAX(AK48:AM48),0)</f>
        <v>#N/A</v>
      </c>
      <c r="AP48" s="218" t="e">
        <f>IF(AND('1.基本データ(このシートは削除しないこと！)'!$H$17=4,AF48="県内"),V48*AI48,0)</f>
        <v>#N/A</v>
      </c>
      <c r="AQ48" s="308"/>
      <c r="AR48" s="466"/>
      <c r="AS48" s="233">
        <f>IF(G48=リスト!Q4,1,IF(G48=リスト!Q5,2,0))</f>
        <v>0</v>
      </c>
      <c r="AT48" s="60">
        <f>AS48</f>
        <v>0</v>
      </c>
      <c r="BE48" s="225"/>
      <c r="BF48" s="225"/>
      <c r="BG48" s="225"/>
      <c r="BH48" s="225"/>
    </row>
    <row r="49" spans="1:60" ht="81.599999999999994" customHeight="1" thickBot="1" x14ac:dyDescent="0.25">
      <c r="A49" s="48"/>
      <c r="B49" s="367"/>
      <c r="C49" s="373"/>
      <c r="D49" s="375" t="s">
        <v>279</v>
      </c>
      <c r="E49" s="378">
        <f>AG49</f>
        <v>1.25</v>
      </c>
      <c r="F49" s="368" t="e">
        <f>IF(OR($AS$43=0,V49+V50=0),"-",AQ49)</f>
        <v>#N/A</v>
      </c>
      <c r="G49" s="421" t="s">
        <v>379</v>
      </c>
      <c r="H49" s="417"/>
      <c r="I49" s="417"/>
      <c r="J49" s="417"/>
      <c r="K49" s="417"/>
      <c r="L49" s="417"/>
      <c r="M49" s="417"/>
      <c r="N49" s="417"/>
      <c r="O49" s="417"/>
      <c r="P49" s="417"/>
      <c r="Q49" s="417"/>
      <c r="R49" s="252" t="s">
        <v>174</v>
      </c>
      <c r="S49" s="167" t="s">
        <v>174</v>
      </c>
      <c r="T49" s="146"/>
      <c r="U49" s="146"/>
      <c r="V49" s="138">
        <f t="shared" si="5"/>
        <v>0</v>
      </c>
      <c r="W49" s="362">
        <f>IF(SUM(V49:V50)&gt;0,1,0)+W46</f>
        <v>0</v>
      </c>
      <c r="X49" s="147">
        <f t="shared" si="6"/>
        <v>0</v>
      </c>
      <c r="Y49" s="139">
        <f>IF(OR(S49='1.基本データ(このシートは削除しないこと！)'!$D$19,'3.様式第11号-1(特別簡易型)'!S49='1.基本データ(このシートは削除しないこと！)'!$E$19),1,0)</f>
        <v>1</v>
      </c>
      <c r="Z49" s="140" t="str">
        <f>VLOOKUP(S49,リスト2!$C$3:$E$65,2,FALSE)</f>
        <v>-</v>
      </c>
      <c r="AA49" s="141">
        <f>IF(OR(Z49='1.基本データ(このシートは削除しないこと！)'!$D$20,Z49='1.基本データ(このシートは削除しないこと！)'!$E$20),1,0)</f>
        <v>1</v>
      </c>
      <c r="AB49" s="140" t="str">
        <f>VLOOKUP(S49,リスト2!$C$3:$E$65,3,FALSE)</f>
        <v>-</v>
      </c>
      <c r="AC49" s="141">
        <f>IF(OR(AB49='1.基本データ(このシートは削除しないこと！)'!$D$21,AB49='1.基本データ(このシートは削除しないこと！)'!$E$21),1,0)</f>
        <v>1</v>
      </c>
      <c r="AD49" s="142">
        <f>Y49+AA49+AC49</f>
        <v>3</v>
      </c>
      <c r="AE49" s="148">
        <f>IF(AND('1.基本データ(このシートは削除しないこと！)'!$D$17="全国",AB49&lt;&gt;"-"),4,0)</f>
        <v>0</v>
      </c>
      <c r="AF49" s="211" t="str">
        <f>VLOOKUP(S49,リスト2!$C$3:$F$65,4,FALSE)</f>
        <v>-</v>
      </c>
      <c r="AG49" s="149">
        <v>1.25</v>
      </c>
      <c r="AH49" s="144">
        <v>1.25</v>
      </c>
      <c r="AI49" s="149">
        <v>1.25</v>
      </c>
      <c r="AK49" s="145">
        <f>IF($V49*$X49*$AD49=3,AG49,0)</f>
        <v>0</v>
      </c>
      <c r="AL49" s="136">
        <f t="shared" si="10"/>
        <v>0</v>
      </c>
      <c r="AM49" s="136">
        <f t="shared" si="7"/>
        <v>0</v>
      </c>
      <c r="AN49" s="213" t="e">
        <f>IF('1.基本データ(このシートは削除しないこと！)'!$H$17=2,MAX(AK49:AL49),0)</f>
        <v>#N/A</v>
      </c>
      <c r="AO49" s="213" t="e">
        <f>IF('1.基本データ(このシートは削除しないこと！)'!$H$17=3,MAX(AK49:AM49),0)</f>
        <v>#N/A</v>
      </c>
      <c r="AP49" s="214" t="e">
        <f>IF(AND('1.基本データ(このシートは削除しないこと！)'!$H$17=4,AF49="県内"),V49*AI49,0)</f>
        <v>#N/A</v>
      </c>
      <c r="AQ49" s="183" t="e">
        <f>IF(W49&lt;=2,MAX(AN49:AP50),"-")</f>
        <v>#N/A</v>
      </c>
      <c r="BE49" s="228"/>
      <c r="BF49" s="228"/>
      <c r="BG49" s="228"/>
      <c r="BH49" s="228"/>
    </row>
    <row r="50" spans="1:60" ht="34.950000000000003" customHeight="1" thickBot="1" x14ac:dyDescent="0.25">
      <c r="A50" s="48"/>
      <c r="B50" s="367"/>
      <c r="C50" s="373"/>
      <c r="D50" s="376"/>
      <c r="E50" s="379"/>
      <c r="F50" s="369"/>
      <c r="G50" s="290" t="s">
        <v>385</v>
      </c>
      <c r="H50" s="467"/>
      <c r="I50" s="467"/>
      <c r="J50" s="467"/>
      <c r="K50" s="467"/>
      <c r="L50" s="467"/>
      <c r="M50" s="467"/>
      <c r="N50" s="467"/>
      <c r="O50" s="467"/>
      <c r="P50" s="467"/>
      <c r="Q50" s="467"/>
      <c r="R50" s="252" t="s">
        <v>174</v>
      </c>
      <c r="S50" s="167" t="s">
        <v>174</v>
      </c>
      <c r="T50" s="137"/>
      <c r="U50" s="137"/>
      <c r="V50" s="82">
        <f t="shared" ref="V50:V54" si="11">IF(R50="有",1,0)</f>
        <v>0</v>
      </c>
      <c r="W50" s="363"/>
      <c r="X50" s="193">
        <f t="shared" si="6"/>
        <v>0</v>
      </c>
      <c r="Y50" s="150">
        <f>IF(OR(S50='1.基本データ(このシートは削除しないこと！)'!$D$19,'3.様式第11号-1(特別簡易型)'!S50='1.基本データ(このシートは削除しないこと！)'!$E$19),1,0)</f>
        <v>1</v>
      </c>
      <c r="Z50" s="132" t="str">
        <f>VLOOKUP(S50,リスト2!$C$3:$E$65,2,FALSE)</f>
        <v>-</v>
      </c>
      <c r="AA50" s="133">
        <f>IF(OR(Z50='1.基本データ(このシートは削除しないこと！)'!$D$20,Z50='1.基本データ(このシートは削除しないこと！)'!$E$20),1,0)</f>
        <v>1</v>
      </c>
      <c r="AB50" s="132" t="str">
        <f>VLOOKUP(S50,リスト2!$C$3:$E$65,3,FALSE)</f>
        <v>-</v>
      </c>
      <c r="AC50" s="133">
        <f>IF(OR(AB50='1.基本データ(このシートは削除しないこと！)'!$D$21,AB50='1.基本データ(このシートは削除しないこと！)'!$E$21),1,0)</f>
        <v>1</v>
      </c>
      <c r="AD50" s="134">
        <f t="shared" ref="AD50" si="12">Y50+AA50+AC50</f>
        <v>3</v>
      </c>
      <c r="AE50" s="151">
        <f>IF(AND('1.基本データ(このシートは削除しないこと！)'!$D$17="全国",AB50&lt;&gt;"-"),4,0)</f>
        <v>0</v>
      </c>
      <c r="AF50" s="211" t="str">
        <f>VLOOKUP(S50,リスト2!$C$3:$F$65,4,FALSE)</f>
        <v>-</v>
      </c>
      <c r="AG50" s="152">
        <v>0.75</v>
      </c>
      <c r="AH50" s="152">
        <v>0.75</v>
      </c>
      <c r="AI50" s="152">
        <v>0.75</v>
      </c>
      <c r="AK50" s="153">
        <f>IF($V50*$X50*$AD50=3,AG50,0)</f>
        <v>0</v>
      </c>
      <c r="AL50" s="136">
        <f t="shared" si="10"/>
        <v>0</v>
      </c>
      <c r="AM50" s="136">
        <f t="shared" si="7"/>
        <v>0</v>
      </c>
      <c r="AN50" s="217" t="e">
        <f>IF('1.基本データ(このシートは削除しないこと！)'!$H$17=2,MAX(AK50:AL50),0)</f>
        <v>#N/A</v>
      </c>
      <c r="AO50" s="217" t="e">
        <f>IF('1.基本データ(このシートは削除しないこと！)'!$H$17=3,MAX(AK50:AM50),0)</f>
        <v>#N/A</v>
      </c>
      <c r="AP50" s="218" t="e">
        <f>IF(AND('1.基本データ(このシートは削除しないこと！)'!$H$17=4,AF50="県内"),V50*AI50,0)</f>
        <v>#N/A</v>
      </c>
      <c r="AQ50" s="184"/>
    </row>
    <row r="51" spans="1:60" ht="34.950000000000003" customHeight="1" thickBot="1" x14ac:dyDescent="0.25">
      <c r="A51" s="48"/>
      <c r="B51" s="367"/>
      <c r="C51" s="373"/>
      <c r="D51" s="375" t="s">
        <v>236</v>
      </c>
      <c r="E51" s="378">
        <f>AG51</f>
        <v>1.25</v>
      </c>
      <c r="F51" s="368" t="e">
        <f>IF(OR($AS$43=0,V51+V52=0),"-",AQ51)</f>
        <v>#N/A</v>
      </c>
      <c r="G51" s="290" t="s">
        <v>386</v>
      </c>
      <c r="H51" s="467"/>
      <c r="I51" s="467"/>
      <c r="J51" s="467"/>
      <c r="K51" s="467"/>
      <c r="L51" s="467"/>
      <c r="M51" s="467"/>
      <c r="N51" s="467"/>
      <c r="O51" s="467"/>
      <c r="P51" s="467"/>
      <c r="Q51" s="467"/>
      <c r="R51" s="252" t="s">
        <v>174</v>
      </c>
      <c r="S51" s="167" t="s">
        <v>174</v>
      </c>
      <c r="T51" s="137"/>
      <c r="U51" s="137"/>
      <c r="V51" s="138">
        <f>IF(R51="有",1,0)</f>
        <v>0</v>
      </c>
      <c r="W51" s="362">
        <f>IF(SUM(V51:V52)&gt;0,1,0)+W49</f>
        <v>0</v>
      </c>
      <c r="X51" s="147">
        <f>IF(S51="-",0,1)</f>
        <v>0</v>
      </c>
      <c r="Y51" s="139">
        <f>IF(OR(S51='1.基本データ(このシートは削除しないこと！)'!$D$19,'3.様式第11号-1(特別簡易型)'!S51='1.基本データ(このシートは削除しないこと！)'!$E$19),1,0)</f>
        <v>1</v>
      </c>
      <c r="Z51" s="140" t="str">
        <f>VLOOKUP(S51,リスト2!$C$3:$E$65,2,FALSE)</f>
        <v>-</v>
      </c>
      <c r="AA51" s="141">
        <f>IF(OR(Z51='1.基本データ(このシートは削除しないこと！)'!$D$20,Z51='1.基本データ(このシートは削除しないこと！)'!$E$20),1,0)</f>
        <v>1</v>
      </c>
      <c r="AB51" s="140" t="str">
        <f>VLOOKUP(S51,リスト2!$C$3:$E$65,3,FALSE)</f>
        <v>-</v>
      </c>
      <c r="AC51" s="141">
        <f>IF(OR(AB51='1.基本データ(このシートは削除しないこと！)'!$D$21,AB51='1.基本データ(このシートは削除しないこと！)'!$E$21),1,0)</f>
        <v>1</v>
      </c>
      <c r="AD51" s="142">
        <f t="shared" ref="AD51:AD53" si="13">Y51+AA51+AC51</f>
        <v>3</v>
      </c>
      <c r="AE51" s="148">
        <f>IF(AND('1.基本データ(このシートは削除しないこと！)'!$D$17="全国",AB51&lt;&gt;"-"),4,0)</f>
        <v>0</v>
      </c>
      <c r="AF51" s="211" t="str">
        <f>VLOOKUP(S51,リスト2!$C$3:$F$65,4,FALSE)</f>
        <v>-</v>
      </c>
      <c r="AG51" s="149">
        <v>1.25</v>
      </c>
      <c r="AH51" s="149">
        <v>1.25</v>
      </c>
      <c r="AI51" s="149">
        <v>1.25</v>
      </c>
      <c r="AK51" s="145">
        <f>IF($V51*X51*$AD51=3,AG51,0)</f>
        <v>0</v>
      </c>
      <c r="AL51" s="136">
        <f t="shared" si="10"/>
        <v>0</v>
      </c>
      <c r="AM51" s="136">
        <f t="shared" si="7"/>
        <v>0</v>
      </c>
      <c r="AN51" s="213" t="e">
        <f>IF('1.基本データ(このシートは削除しないこと！)'!$H$17=2,MAX(AK51:AL51),0)</f>
        <v>#N/A</v>
      </c>
      <c r="AO51" s="213" t="e">
        <f>IF('1.基本データ(このシートは削除しないこと！)'!$H$17=3,MAX(AK51:AM51),0)</f>
        <v>#N/A</v>
      </c>
      <c r="AP51" s="214" t="e">
        <f>IF(AND('1.基本データ(このシートは削除しないこと！)'!$H$17=4,AF51="県内"),V51*AI51,0)</f>
        <v>#N/A</v>
      </c>
      <c r="AQ51" s="183" t="e">
        <f>IF(W51&lt;=2,MAX(AN51:AP52),"-")</f>
        <v>#N/A</v>
      </c>
    </row>
    <row r="52" spans="1:60" ht="34.950000000000003" customHeight="1" thickBot="1" x14ac:dyDescent="0.25">
      <c r="A52" s="48"/>
      <c r="B52" s="367"/>
      <c r="C52" s="373"/>
      <c r="D52" s="376"/>
      <c r="E52" s="379"/>
      <c r="F52" s="369"/>
      <c r="G52" s="290" t="s">
        <v>387</v>
      </c>
      <c r="H52" s="467"/>
      <c r="I52" s="467"/>
      <c r="J52" s="467"/>
      <c r="K52" s="467"/>
      <c r="L52" s="467"/>
      <c r="M52" s="467"/>
      <c r="N52" s="467"/>
      <c r="O52" s="467"/>
      <c r="P52" s="467"/>
      <c r="Q52" s="467"/>
      <c r="R52" s="252" t="s">
        <v>174</v>
      </c>
      <c r="S52" s="167" t="s">
        <v>174</v>
      </c>
      <c r="T52" s="154"/>
      <c r="U52" s="154"/>
      <c r="V52" s="82">
        <f>IF(R52="有",1,0)</f>
        <v>0</v>
      </c>
      <c r="W52" s="363"/>
      <c r="X52" s="193">
        <f>IF(S52="-",0,1)</f>
        <v>0</v>
      </c>
      <c r="Y52" s="150">
        <f>IF(OR(S52='1.基本データ(このシートは削除しないこと！)'!$D$19,'3.様式第11号-1(特別簡易型)'!S52='1.基本データ(このシートは削除しないこと！)'!$E$19),1,0)</f>
        <v>1</v>
      </c>
      <c r="Z52" s="132" t="str">
        <f>VLOOKUP(S52,リスト2!$C$3:$E$65,2,FALSE)</f>
        <v>-</v>
      </c>
      <c r="AA52" s="133">
        <f>IF(OR(Z52='1.基本データ(このシートは削除しないこと！)'!$D$20,Z52='1.基本データ(このシートは削除しないこと！)'!$E$20),1,0)</f>
        <v>1</v>
      </c>
      <c r="AB52" s="132" t="str">
        <f>VLOOKUP(S52,リスト2!$C$3:$E$65,3,FALSE)</f>
        <v>-</v>
      </c>
      <c r="AC52" s="133">
        <f>IF(OR(AB52='1.基本データ(このシートは削除しないこと！)'!$D$21,AB52='1.基本データ(このシートは削除しないこと！)'!$E$21),1,0)</f>
        <v>1</v>
      </c>
      <c r="AD52" s="134">
        <f t="shared" si="13"/>
        <v>3</v>
      </c>
      <c r="AE52" s="151">
        <f>IF(AND('1.基本データ(このシートは削除しないこと！)'!$D$17="全国",AB52&lt;&gt;"-"),4,0)</f>
        <v>0</v>
      </c>
      <c r="AF52" s="211" t="str">
        <f>VLOOKUP(S52,リスト2!$C$3:$F$65,4,FALSE)</f>
        <v>-</v>
      </c>
      <c r="AG52" s="152">
        <v>0.75</v>
      </c>
      <c r="AH52" s="152">
        <v>0.75</v>
      </c>
      <c r="AI52" s="152">
        <v>0.75</v>
      </c>
      <c r="AK52" s="153">
        <f>IF($V52*X52*$AD52=3,AG52,0)</f>
        <v>0</v>
      </c>
      <c r="AL52" s="136">
        <f t="shared" si="10"/>
        <v>0</v>
      </c>
      <c r="AM52" s="136">
        <f t="shared" si="7"/>
        <v>0</v>
      </c>
      <c r="AN52" s="217" t="e">
        <f>IF('1.基本データ(このシートは削除しないこと！)'!$H$17=2,MAX(AK52:AL52),0)</f>
        <v>#N/A</v>
      </c>
      <c r="AO52" s="217" t="e">
        <f>IF('1.基本データ(このシートは削除しないこと！)'!$H$17=3,MAX(AK52:AM52),0)</f>
        <v>#N/A</v>
      </c>
      <c r="AP52" s="218" t="e">
        <f>IF(AND('1.基本データ(このシートは削除しないこと！)'!$H$17=4,AF52="県内"),V52*AI52,0)</f>
        <v>#N/A</v>
      </c>
      <c r="AQ52" s="184"/>
    </row>
    <row r="53" spans="1:60" ht="83.4" customHeight="1" thickBot="1" x14ac:dyDescent="0.25">
      <c r="A53" s="48"/>
      <c r="B53" s="367"/>
      <c r="C53" s="373"/>
      <c r="D53" s="393" t="s">
        <v>278</v>
      </c>
      <c r="E53" s="378">
        <v>1.75</v>
      </c>
      <c r="F53" s="370" t="e">
        <f>IF(OR('1.基本データ(このシートは削除しないこと！)'!H16=10,$AS$43=0,AQ53=0,V53+V54=0),"-",AS53)</f>
        <v>#N/A</v>
      </c>
      <c r="G53" s="253" t="s">
        <v>396</v>
      </c>
      <c r="H53" s="355" t="s">
        <v>380</v>
      </c>
      <c r="I53" s="356"/>
      <c r="J53" s="356"/>
      <c r="K53" s="356"/>
      <c r="L53" s="356"/>
      <c r="M53" s="356"/>
      <c r="N53" s="356"/>
      <c r="O53" s="356"/>
      <c r="P53" s="356"/>
      <c r="Q53" s="395"/>
      <c r="R53" s="252" t="s">
        <v>174</v>
      </c>
      <c r="S53" s="389" t="s">
        <v>174</v>
      </c>
      <c r="T53" s="137"/>
      <c r="U53" s="137"/>
      <c r="V53" s="138">
        <f t="shared" si="11"/>
        <v>0</v>
      </c>
      <c r="W53" s="362">
        <f>IF(SUM(V53:V54)&gt;0,1,0)+W51</f>
        <v>0</v>
      </c>
      <c r="X53" s="147">
        <f t="shared" si="6"/>
        <v>0</v>
      </c>
      <c r="Y53" s="139">
        <f>IF(OR(S53='1.基本データ(このシートは削除しないこと！)'!$D$19,'3.様式第11号-1(特別簡易型)'!S53='1.基本データ(このシートは削除しないこと！)'!$E$19),1,0)</f>
        <v>1</v>
      </c>
      <c r="Z53" s="140" t="str">
        <f>VLOOKUP(S53,リスト2!$C$3:$E$65,2,FALSE)</f>
        <v>-</v>
      </c>
      <c r="AA53" s="141">
        <f>IF(OR(Z53='1.基本データ(このシートは削除しないこと！)'!$D$20,Z53='1.基本データ(このシートは削除しないこと！)'!$E$20),1,0)</f>
        <v>1</v>
      </c>
      <c r="AB53" s="140" t="str">
        <f>VLOOKUP(S53,リスト2!$C$3:$E$65,3,FALSE)</f>
        <v>-</v>
      </c>
      <c r="AC53" s="141">
        <f>IF(OR(AB53='1.基本データ(このシートは削除しないこと！)'!$D$21,AB53='1.基本データ(このシートは削除しないこと！)'!$E$21),1,0)</f>
        <v>1</v>
      </c>
      <c r="AD53" s="142">
        <f t="shared" si="13"/>
        <v>3</v>
      </c>
      <c r="AE53" s="142">
        <f>IF(AND('1.基本データ(このシートは削除しないこと！)'!$D$17="全国",AB53&lt;&gt;"-"),4,0)</f>
        <v>0</v>
      </c>
      <c r="AF53" s="211" t="str">
        <f>VLOOKUP(S53,リスト2!$C$3:$F$65,4,FALSE)</f>
        <v>-</v>
      </c>
      <c r="AG53" s="135">
        <v>1.5</v>
      </c>
      <c r="AH53" s="135">
        <v>1.5</v>
      </c>
      <c r="AI53" s="135">
        <v>1.5</v>
      </c>
      <c r="AK53" s="136">
        <f>IF($V53*X53*$AD53=3,AG53,0)</f>
        <v>0</v>
      </c>
      <c r="AL53" s="136">
        <f t="shared" si="10"/>
        <v>0</v>
      </c>
      <c r="AM53" s="136">
        <f t="shared" si="7"/>
        <v>0</v>
      </c>
      <c r="AN53" s="213" t="e">
        <f>IF('1.基本データ(このシートは削除しないこと！)'!$H$17=2,MAX(AK53:AL53),0)</f>
        <v>#N/A</v>
      </c>
      <c r="AO53" s="213" t="e">
        <f>IF('1.基本データ(このシートは削除しないこと！)'!$H$17=3,MAX(AK53:AM53),0)</f>
        <v>#N/A</v>
      </c>
      <c r="AP53" s="214" t="e">
        <f>IF(AND('1.基本データ(このシートは削除しないこと！)'!$H$17=4,AF53="県内"),V53*AI53,0)</f>
        <v>#N/A</v>
      </c>
      <c r="AQ53" s="195" t="e">
        <f>IF(W53&lt;=2,MAX(AN53:AP54),"-")</f>
        <v>#N/A</v>
      </c>
      <c r="AR53" s="231" t="e">
        <f>AQ53+0.25</f>
        <v>#N/A</v>
      </c>
      <c r="AS53" s="24" t="str">
        <f>IF(AS54=1,MAX(AQ53:AR53),IF(AS54=2,MIN(AQ53:AR53),"-"))</f>
        <v>-</v>
      </c>
    </row>
    <row r="54" spans="1:60" ht="64.8" customHeight="1" thickBot="1" x14ac:dyDescent="0.25">
      <c r="A54" s="48"/>
      <c r="B54" s="367"/>
      <c r="C54" s="374"/>
      <c r="D54" s="394"/>
      <c r="E54" s="380"/>
      <c r="F54" s="371"/>
      <c r="G54" s="255" t="s">
        <v>174</v>
      </c>
      <c r="H54" s="391" t="s">
        <v>388</v>
      </c>
      <c r="I54" s="392"/>
      <c r="J54" s="392"/>
      <c r="K54" s="392"/>
      <c r="L54" s="392"/>
      <c r="M54" s="392"/>
      <c r="N54" s="392"/>
      <c r="O54" s="392"/>
      <c r="P54" s="392"/>
      <c r="Q54" s="392"/>
      <c r="R54" s="252" t="s">
        <v>174</v>
      </c>
      <c r="S54" s="390"/>
      <c r="T54" s="137"/>
      <c r="U54" s="137"/>
      <c r="V54" s="82">
        <f t="shared" si="11"/>
        <v>0</v>
      </c>
      <c r="W54" s="363"/>
      <c r="X54" s="193">
        <f>X53</f>
        <v>0</v>
      </c>
      <c r="Y54" s="150">
        <f>Y53</f>
        <v>1</v>
      </c>
      <c r="Z54" s="132" t="str">
        <f>Z53</f>
        <v>-</v>
      </c>
      <c r="AA54" s="133">
        <f>AA53</f>
        <v>1</v>
      </c>
      <c r="AB54" s="132" t="str">
        <f t="shared" ref="AB54:AE54" si="14">AB53</f>
        <v>-</v>
      </c>
      <c r="AC54" s="133">
        <f t="shared" si="14"/>
        <v>1</v>
      </c>
      <c r="AD54" s="134">
        <f t="shared" si="14"/>
        <v>3</v>
      </c>
      <c r="AE54" s="134">
        <f t="shared" si="14"/>
        <v>0</v>
      </c>
      <c r="AF54" s="211" t="str">
        <f>AF53</f>
        <v>-</v>
      </c>
      <c r="AG54" s="135">
        <v>0.75</v>
      </c>
      <c r="AH54" s="135">
        <v>0.75</v>
      </c>
      <c r="AI54" s="135">
        <v>0.75</v>
      </c>
      <c r="AK54" s="136">
        <f>IF($V54*X54*$AD53=3,AG54,0)</f>
        <v>0</v>
      </c>
      <c r="AL54" s="136">
        <f t="shared" si="10"/>
        <v>0</v>
      </c>
      <c r="AM54" s="136">
        <f t="shared" si="7"/>
        <v>0</v>
      </c>
      <c r="AN54" s="217" t="e">
        <f>IF('1.基本データ(このシートは削除しないこと！)'!$H$17=2,MAX(AK54:AL54),0)</f>
        <v>#N/A</v>
      </c>
      <c r="AO54" s="217" t="e">
        <f>IF('1.基本データ(このシートは削除しないこと！)'!$H$17=3,MAX(AK54:AM54),0)</f>
        <v>#N/A</v>
      </c>
      <c r="AP54" s="218" t="e">
        <f>IF(AND('1.基本データ(このシートは削除しないこと！)'!$H$17=4,AF54="県内"),V54*AI54,0)</f>
        <v>#N/A</v>
      </c>
      <c r="AQ54" s="185"/>
      <c r="AR54" s="232"/>
      <c r="AS54" s="233">
        <f>IF(G54=リスト!Q4,1,IF(G54=リスト!Q5,2,0))</f>
        <v>0</v>
      </c>
      <c r="AT54" s="60">
        <f>AS54</f>
        <v>0</v>
      </c>
    </row>
    <row r="57" spans="1:60" ht="9" customHeight="1" x14ac:dyDescent="0.2"/>
    <row r="58" spans="1:60" ht="9" customHeight="1" x14ac:dyDescent="0.2"/>
    <row r="59" spans="1:60" ht="9" customHeight="1" x14ac:dyDescent="0.2"/>
    <row r="60" spans="1:60" ht="9" customHeight="1" x14ac:dyDescent="0.2"/>
  </sheetData>
  <sheetProtection password="AA7A" sheet="1" objects="1" scenarios="1"/>
  <mergeCells count="149">
    <mergeCell ref="AR42:AR43"/>
    <mergeCell ref="AR46:AR48"/>
    <mergeCell ref="G49:Q49"/>
    <mergeCell ref="G50:Q50"/>
    <mergeCell ref="G51:Q51"/>
    <mergeCell ref="G52:Q52"/>
    <mergeCell ref="G15:H15"/>
    <mergeCell ref="G19:H19"/>
    <mergeCell ref="G18:H18"/>
    <mergeCell ref="G17:H17"/>
    <mergeCell ref="G16:H16"/>
    <mergeCell ref="G22:H22"/>
    <mergeCell ref="G21:H21"/>
    <mergeCell ref="G20:H20"/>
    <mergeCell ref="G31:S31"/>
    <mergeCell ref="K32:Q32"/>
    <mergeCell ref="R32:S32"/>
    <mergeCell ref="G34:Q34"/>
    <mergeCell ref="G33:H33"/>
    <mergeCell ref="G32:H32"/>
    <mergeCell ref="G36:H36"/>
    <mergeCell ref="G35:H35"/>
    <mergeCell ref="G43:Q43"/>
    <mergeCell ref="G44:Q44"/>
    <mergeCell ref="F10:F12"/>
    <mergeCell ref="G45:Q45"/>
    <mergeCell ref="H46:Q46"/>
    <mergeCell ref="G8:H8"/>
    <mergeCell ref="G9:H9"/>
    <mergeCell ref="G7:H7"/>
    <mergeCell ref="G6:S6"/>
    <mergeCell ref="G11:H11"/>
    <mergeCell ref="G10:H10"/>
    <mergeCell ref="G12:S12"/>
    <mergeCell ref="G14:Q14"/>
    <mergeCell ref="G13:Q13"/>
    <mergeCell ref="S7:S9"/>
    <mergeCell ref="I7:Q7"/>
    <mergeCell ref="I8:Q8"/>
    <mergeCell ref="G46:G47"/>
    <mergeCell ref="R34:S41"/>
    <mergeCell ref="D51:D52"/>
    <mergeCell ref="Q1:R1"/>
    <mergeCell ref="B4:D4"/>
    <mergeCell ref="E4:R4"/>
    <mergeCell ref="B6:D6"/>
    <mergeCell ref="F7:F9"/>
    <mergeCell ref="B3:H3"/>
    <mergeCell ref="C7:D9"/>
    <mergeCell ref="E7:E9"/>
    <mergeCell ref="B7:B22"/>
    <mergeCell ref="R15:S15"/>
    <mergeCell ref="E20:E22"/>
    <mergeCell ref="F20:F22"/>
    <mergeCell ref="E16:E19"/>
    <mergeCell ref="C15:D15"/>
    <mergeCell ref="C16:D19"/>
    <mergeCell ref="C20:D22"/>
    <mergeCell ref="C10:D12"/>
    <mergeCell ref="S16:S19"/>
    <mergeCell ref="S20:S22"/>
    <mergeCell ref="F16:F19"/>
    <mergeCell ref="L10:M10"/>
    <mergeCell ref="O10:P10"/>
    <mergeCell ref="E10:E12"/>
    <mergeCell ref="W53:W54"/>
    <mergeCell ref="C44:D44"/>
    <mergeCell ref="C45:D45"/>
    <mergeCell ref="B44:B54"/>
    <mergeCell ref="F51:F52"/>
    <mergeCell ref="F53:F54"/>
    <mergeCell ref="W49:W50"/>
    <mergeCell ref="W51:W52"/>
    <mergeCell ref="C46:C54"/>
    <mergeCell ref="D49:D50"/>
    <mergeCell ref="W46:W48"/>
    <mergeCell ref="E51:E52"/>
    <mergeCell ref="E53:E54"/>
    <mergeCell ref="F49:F50"/>
    <mergeCell ref="E49:E50"/>
    <mergeCell ref="D46:D48"/>
    <mergeCell ref="H47:Q47"/>
    <mergeCell ref="H48:Q48"/>
    <mergeCell ref="F46:F48"/>
    <mergeCell ref="E46:E48"/>
    <mergeCell ref="S53:S54"/>
    <mergeCell ref="H54:Q54"/>
    <mergeCell ref="D53:D54"/>
    <mergeCell ref="H53:Q53"/>
    <mergeCell ref="B43:D43"/>
    <mergeCell ref="C34:D41"/>
    <mergeCell ref="E34:E41"/>
    <mergeCell ref="F34:F41"/>
    <mergeCell ref="B42:S42"/>
    <mergeCell ref="K35:Q35"/>
    <mergeCell ref="I35:J35"/>
    <mergeCell ref="K40:Q40"/>
    <mergeCell ref="C33:D33"/>
    <mergeCell ref="K33:S33"/>
    <mergeCell ref="K41:Q41"/>
    <mergeCell ref="G37:Q37"/>
    <mergeCell ref="G39:H39"/>
    <mergeCell ref="G38:H38"/>
    <mergeCell ref="G40:I40"/>
    <mergeCell ref="G41:J41"/>
    <mergeCell ref="AQ46:AQ48"/>
    <mergeCell ref="R8:R9"/>
    <mergeCell ref="P11:R11"/>
    <mergeCell ref="I36:J36"/>
    <mergeCell ref="K36:Q36"/>
    <mergeCell ref="K38:Q38"/>
    <mergeCell ref="K39:Q39"/>
    <mergeCell ref="I38:J38"/>
    <mergeCell ref="I39:J39"/>
    <mergeCell ref="I33:J33"/>
    <mergeCell ref="I11:O11"/>
    <mergeCell ref="I9:J9"/>
    <mergeCell ref="K9:L9"/>
    <mergeCell ref="M9:O9"/>
    <mergeCell ref="B23:S23"/>
    <mergeCell ref="E29:R29"/>
    <mergeCell ref="K19:L19"/>
    <mergeCell ref="I19:J19"/>
    <mergeCell ref="M19:O19"/>
    <mergeCell ref="I16:Q16"/>
    <mergeCell ref="I21:L21"/>
    <mergeCell ref="N21:Q21"/>
    <mergeCell ref="I18:L18"/>
    <mergeCell ref="N18:Q18"/>
    <mergeCell ref="C14:D14"/>
    <mergeCell ref="I22:L22"/>
    <mergeCell ref="N22:Q22"/>
    <mergeCell ref="C32:D32"/>
    <mergeCell ref="B27:S27"/>
    <mergeCell ref="B24:S24"/>
    <mergeCell ref="R17:R19"/>
    <mergeCell ref="R21:R22"/>
    <mergeCell ref="C13:D13"/>
    <mergeCell ref="L20:M20"/>
    <mergeCell ref="O20:P20"/>
    <mergeCell ref="I15:Q15"/>
    <mergeCell ref="I17:L17"/>
    <mergeCell ref="N17:Q17"/>
    <mergeCell ref="B26:S26"/>
    <mergeCell ref="B31:D31"/>
    <mergeCell ref="B25:S25"/>
    <mergeCell ref="B29:D29"/>
    <mergeCell ref="B32:B41"/>
    <mergeCell ref="I32:J32"/>
  </mergeCells>
  <phoneticPr fontId="36"/>
  <conditionalFormatting sqref="E44:F44 E51 E53:G53 E46:G46 F54 R44:R54 E49:F49 F45">
    <cfRule type="expression" dxfId="16" priority="143">
      <formula>#REF!=0</formula>
    </cfRule>
  </conditionalFormatting>
  <conditionalFormatting sqref="F53:G53 F54">
    <cfRule type="expression" dxfId="15" priority="156">
      <formula>#REF!=2</formula>
    </cfRule>
  </conditionalFormatting>
  <conditionalFormatting sqref="F46:G46 F53:G53 R44:R54 F49 F54">
    <cfRule type="expression" dxfId="14" priority="161">
      <formula>#REF!&gt;2</formula>
    </cfRule>
  </conditionalFormatting>
  <conditionalFormatting sqref="K39 H46:H48 G44 G49:G52">
    <cfRule type="expression" dxfId="13" priority="90">
      <formula>#REF!=0</formula>
    </cfRule>
  </conditionalFormatting>
  <conditionalFormatting sqref="K36">
    <cfRule type="expression" dxfId="12" priority="96">
      <formula>#REF!=0</formula>
    </cfRule>
  </conditionalFormatting>
  <conditionalFormatting sqref="K36 H46:H48 G49:G52">
    <cfRule type="expression" dxfId="11" priority="97">
      <formula>#REF!&gt;2</formula>
    </cfRule>
  </conditionalFormatting>
  <conditionalFormatting sqref="F51">
    <cfRule type="expression" dxfId="10" priority="84">
      <formula>#REF!=0</formula>
    </cfRule>
  </conditionalFormatting>
  <conditionalFormatting sqref="F51">
    <cfRule type="expression" dxfId="9" priority="85">
      <formula>#REF!&gt;2</formula>
    </cfRule>
  </conditionalFormatting>
  <conditionalFormatting sqref="K39">
    <cfRule type="expression" dxfId="8" priority="91">
      <formula>#REF!&gt;2</formula>
    </cfRule>
  </conditionalFormatting>
  <conditionalFormatting sqref="BE47">
    <cfRule type="expression" dxfId="7" priority="9">
      <formula>#REF!=0</formula>
    </cfRule>
  </conditionalFormatting>
  <conditionalFormatting sqref="BE47">
    <cfRule type="expression" dxfId="6" priority="10">
      <formula>#REF!&gt;2</formula>
    </cfRule>
  </conditionalFormatting>
  <conditionalFormatting sqref="H54:P54">
    <cfRule type="expression" dxfId="5" priority="6">
      <formula>#REF!=0</formula>
    </cfRule>
  </conditionalFormatting>
  <conditionalFormatting sqref="H54:P54">
    <cfRule type="expression" dxfId="4" priority="7">
      <formula>#REF!=2</formula>
    </cfRule>
  </conditionalFormatting>
  <conditionalFormatting sqref="H54:P54">
    <cfRule type="expression" dxfId="3" priority="8">
      <formula>#REF!&gt;2</formula>
    </cfRule>
  </conditionalFormatting>
  <conditionalFormatting sqref="H53:P53">
    <cfRule type="expression" dxfId="2" priority="3">
      <formula>#REF!=0</formula>
    </cfRule>
  </conditionalFormatting>
  <conditionalFormatting sqref="H53:P53">
    <cfRule type="expression" dxfId="1" priority="4">
      <formula>#REF!=2</formula>
    </cfRule>
  </conditionalFormatting>
  <conditionalFormatting sqref="H53:P53">
    <cfRule type="expression" dxfId="0" priority="5">
      <formula>#REF!&gt;2</formula>
    </cfRule>
  </conditionalFormatting>
  <dataValidations count="1">
    <dataValidation imeMode="halfAlpha" allowBlank="1" showInputMessage="1" showErrorMessage="1" sqref="J10 L10:M10 O10:P10 I19:J19 J20 L20:M20 O20:P20 I9:J9 P9"/>
  </dataValidations>
  <printOptions horizontalCentered="1"/>
  <pageMargins left="0.55118110236220474" right="0.55118110236220474" top="0.59055118110236227" bottom="0.19685039370078741" header="0" footer="0.51181102362204722"/>
  <pageSetup paperSize="9" scale="76" orientation="portrait" r:id="rId1"/>
  <rowBreaks count="1" manualBreakCount="1">
    <brk id="27" max="18" man="1"/>
  </rowBreaks>
  <colBreaks count="1" manualBreakCount="1">
    <brk id="19" min="2" max="57"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リスト!$M$4:$M$5</xm:f>
          </x14:formula1>
          <xm:sqref>R44:R54 S13:S14</xm:sqref>
        </x14:dataValidation>
        <x14:dataValidation type="list" allowBlank="1" showInputMessage="1" showErrorMessage="1">
          <x14:formula1>
            <xm:f>リスト2!$C$3:$C$64</xm:f>
          </x14:formula1>
          <xm:sqref>K35 K38 S44:S54</xm:sqref>
        </x14:dataValidation>
        <x14:dataValidation type="list" allowBlank="1" showInputMessage="1" showErrorMessage="1">
          <x14:formula1>
            <xm:f>リスト!$H$4:$H$22</xm:f>
          </x14:formula1>
          <xm:sqref>S10</xm:sqref>
        </x14:dataValidation>
        <x14:dataValidation type="list" allowBlank="1" showInputMessage="1" showErrorMessage="1">
          <x14:formula1>
            <xm:f>リスト!$N$5:$N$7</xm:f>
          </x14:formula1>
          <xm:sqref>K39</xm:sqref>
        </x14:dataValidation>
        <x14:dataValidation type="list" allowBlank="1" showInputMessage="1" showErrorMessage="1">
          <x14:formula1>
            <xm:f>リスト!$N$4:$N$7</xm:f>
          </x14:formula1>
          <xm:sqref>K36</xm:sqref>
        </x14:dataValidation>
        <x14:dataValidation type="list" allowBlank="1" showInputMessage="1" showErrorMessage="1">
          <x14:formula1>
            <xm:f>リスト!$K$9:$K$12</xm:f>
          </x14:formula1>
          <xm:sqref>K33</xm:sqref>
        </x14:dataValidation>
        <x14:dataValidation type="list" allowBlank="1" showInputMessage="1" showErrorMessage="1">
          <x14:formula1>
            <xm:f>リスト!$E$4:$E$6</xm:f>
          </x14:formula1>
          <xm:sqref>I8:Q8</xm:sqref>
        </x14:dataValidation>
        <x14:dataValidation type="list" allowBlank="1" showInputMessage="1" showErrorMessage="1">
          <x14:formula1>
            <xm:f>リスト!$F$4:$F$7</xm:f>
          </x14:formula1>
          <xm:sqref>S11</xm:sqref>
        </x14:dataValidation>
        <x14:dataValidation type="list" allowBlank="1" showInputMessage="1" showErrorMessage="1">
          <x14:formula1>
            <xm:f>リスト!$O$4:$O$6</xm:f>
          </x14:formula1>
          <xm:sqref>R32:S32</xm:sqref>
        </x14:dataValidation>
        <x14:dataValidation type="list" allowBlank="1" showInputMessage="1" showErrorMessage="1">
          <x14:formula1>
            <xm:f>リスト!$Q$4:$Q$6</xm:f>
          </x14:formula1>
          <xm:sqref>G48 G54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workbookViewId="0">
      <selection activeCell="A2" sqref="A2"/>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43</v>
      </c>
      <c r="B3" s="2" t="s">
        <v>37</v>
      </c>
      <c r="E3" s="2" t="s">
        <v>19</v>
      </c>
      <c r="F3" s="2" t="s">
        <v>138</v>
      </c>
      <c r="G3" s="2" t="s">
        <v>142</v>
      </c>
      <c r="H3" s="2" t="s">
        <v>125</v>
      </c>
      <c r="I3" s="2" t="s">
        <v>20</v>
      </c>
      <c r="K3" s="3" t="s">
        <v>21</v>
      </c>
      <c r="L3" s="2" t="s">
        <v>22</v>
      </c>
      <c r="M3" s="2" t="s">
        <v>23</v>
      </c>
      <c r="N3" s="2" t="s">
        <v>230</v>
      </c>
      <c r="O3" s="2" t="s">
        <v>271</v>
      </c>
      <c r="Q3" s="227" t="s">
        <v>358</v>
      </c>
    </row>
    <row r="4" spans="1:17" x14ac:dyDescent="0.2">
      <c r="A4" s="2" t="s">
        <v>42</v>
      </c>
      <c r="B4" s="2" t="s">
        <v>38</v>
      </c>
      <c r="E4" s="2" t="s">
        <v>24</v>
      </c>
      <c r="F4" s="2" t="s">
        <v>321</v>
      </c>
      <c r="G4" s="2" t="s">
        <v>139</v>
      </c>
      <c r="H4" s="2" t="s">
        <v>360</v>
      </c>
      <c r="I4" s="2" t="s">
        <v>176</v>
      </c>
      <c r="K4" s="2" t="s">
        <v>202</v>
      </c>
      <c r="L4" s="2" t="s">
        <v>27</v>
      </c>
      <c r="M4" s="2" t="s">
        <v>28</v>
      </c>
      <c r="N4" s="2" t="s">
        <v>231</v>
      </c>
      <c r="O4" s="2" t="s">
        <v>352</v>
      </c>
      <c r="Q4" s="227" t="s">
        <v>356</v>
      </c>
    </row>
    <row r="5" spans="1:17" x14ac:dyDescent="0.2">
      <c r="A5" s="2" t="s">
        <v>41</v>
      </c>
      <c r="B5" s="2" t="s">
        <v>39</v>
      </c>
      <c r="E5" s="2" t="s">
        <v>30</v>
      </c>
      <c r="F5" s="2" t="s">
        <v>320</v>
      </c>
      <c r="G5" s="2" t="s">
        <v>360</v>
      </c>
      <c r="H5" s="2" t="s">
        <v>126</v>
      </c>
      <c r="I5" s="2" t="s">
        <v>3</v>
      </c>
      <c r="K5" s="2" t="s">
        <v>360</v>
      </c>
      <c r="L5" s="2" t="s">
        <v>32</v>
      </c>
      <c r="M5" s="2" t="s">
        <v>360</v>
      </c>
      <c r="N5" s="2" t="s">
        <v>29</v>
      </c>
      <c r="O5" s="2" t="s">
        <v>353</v>
      </c>
      <c r="Q5" s="2" t="s">
        <v>357</v>
      </c>
    </row>
    <row r="6" spans="1:17" x14ac:dyDescent="0.2">
      <c r="A6" s="2" t="s">
        <v>319</v>
      </c>
      <c r="B6" s="2" t="s">
        <v>4</v>
      </c>
      <c r="E6" s="2" t="s">
        <v>33</v>
      </c>
      <c r="F6" s="2" t="s">
        <v>140</v>
      </c>
      <c r="H6" s="2" t="s">
        <v>127</v>
      </c>
      <c r="I6" s="2" t="s">
        <v>360</v>
      </c>
      <c r="L6" s="2" t="s">
        <v>360</v>
      </c>
      <c r="N6" s="2" t="s">
        <v>3</v>
      </c>
      <c r="O6" s="2" t="s">
        <v>360</v>
      </c>
      <c r="Q6" s="2" t="s">
        <v>360</v>
      </c>
    </row>
    <row r="7" spans="1:17" x14ac:dyDescent="0.2">
      <c r="B7" s="2" t="s">
        <v>40</v>
      </c>
      <c r="E7" s="2" t="s">
        <v>360</v>
      </c>
      <c r="F7" s="2" t="s">
        <v>360</v>
      </c>
      <c r="H7" s="2" t="s">
        <v>180</v>
      </c>
      <c r="N7" s="2" t="s">
        <v>360</v>
      </c>
    </row>
    <row r="8" spans="1:17" x14ac:dyDescent="0.2">
      <c r="H8" s="2" t="s">
        <v>181</v>
      </c>
    </row>
    <row r="9" spans="1:17" x14ac:dyDescent="0.2">
      <c r="H9" s="2" t="s">
        <v>182</v>
      </c>
      <c r="K9" s="2" t="s">
        <v>203</v>
      </c>
    </row>
    <row r="10" spans="1:17" x14ac:dyDescent="0.2">
      <c r="H10" s="2" t="s">
        <v>183</v>
      </c>
      <c r="K10" s="2" t="s">
        <v>204</v>
      </c>
    </row>
    <row r="11" spans="1:17" x14ac:dyDescent="0.2">
      <c r="H11" s="2" t="s">
        <v>184</v>
      </c>
      <c r="K11" s="2" t="s">
        <v>206</v>
      </c>
    </row>
    <row r="12" spans="1:17" x14ac:dyDescent="0.2">
      <c r="H12" s="2" t="s">
        <v>185</v>
      </c>
      <c r="K12" s="2" t="s">
        <v>360</v>
      </c>
    </row>
    <row r="13" spans="1:17" x14ac:dyDescent="0.2">
      <c r="H13" s="2" t="s">
        <v>186</v>
      </c>
    </row>
    <row r="14" spans="1:17" x14ac:dyDescent="0.2">
      <c r="H14" s="2" t="s">
        <v>187</v>
      </c>
    </row>
    <row r="15" spans="1:17" x14ac:dyDescent="0.2">
      <c r="H15" s="2" t="s">
        <v>188</v>
      </c>
    </row>
    <row r="16" spans="1:17" x14ac:dyDescent="0.2">
      <c r="H16" s="2" t="s">
        <v>189</v>
      </c>
    </row>
    <row r="17" spans="8:8" x14ac:dyDescent="0.2">
      <c r="H17" s="2" t="s">
        <v>190</v>
      </c>
    </row>
    <row r="18" spans="8:8" x14ac:dyDescent="0.2">
      <c r="H18" s="2" t="s">
        <v>191</v>
      </c>
    </row>
    <row r="19" spans="8:8" x14ac:dyDescent="0.2">
      <c r="H19" s="2" t="s">
        <v>192</v>
      </c>
    </row>
    <row r="20" spans="8:8" x14ac:dyDescent="0.2">
      <c r="H20" s="2" t="s">
        <v>193</v>
      </c>
    </row>
    <row r="21" spans="8:8" x14ac:dyDescent="0.2">
      <c r="H21" s="2" t="s">
        <v>194</v>
      </c>
    </row>
    <row r="22" spans="8:8" x14ac:dyDescent="0.2">
      <c r="H22" s="2" t="s">
        <v>195</v>
      </c>
    </row>
  </sheetData>
  <sheetProtection password="AA7A" sheet="1" objects="1" scenarios="1"/>
  <phoneticPr fontId="3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s>
  <sheetData>
    <row r="2" spans="2:9" ht="39" customHeight="1" x14ac:dyDescent="0.2">
      <c r="B2" s="4" t="s">
        <v>148</v>
      </c>
      <c r="C2" s="4" t="s">
        <v>122</v>
      </c>
      <c r="D2" s="5" t="s">
        <v>147</v>
      </c>
      <c r="E2" s="4" t="s">
        <v>123</v>
      </c>
      <c r="F2" s="155" t="s">
        <v>299</v>
      </c>
      <c r="G2" s="4" t="s">
        <v>37</v>
      </c>
      <c r="H2" s="1" t="s">
        <v>198</v>
      </c>
      <c r="I2" s="1"/>
    </row>
    <row r="3" spans="2:9" x14ac:dyDescent="0.2">
      <c r="B3" s="6">
        <v>1</v>
      </c>
      <c r="C3" s="6" t="s">
        <v>65</v>
      </c>
      <c r="D3" s="6" t="s">
        <v>44</v>
      </c>
      <c r="E3" s="6" t="s">
        <v>60</v>
      </c>
      <c r="F3" s="1" t="s">
        <v>4</v>
      </c>
      <c r="G3" s="6" t="s">
        <v>38</v>
      </c>
      <c r="H3" s="1" t="s">
        <v>151</v>
      </c>
      <c r="I3" s="1">
        <v>2</v>
      </c>
    </row>
    <row r="4" spans="2:9" x14ac:dyDescent="0.2">
      <c r="B4" s="6">
        <v>2</v>
      </c>
      <c r="C4" s="6" t="s">
        <v>66</v>
      </c>
      <c r="D4" s="6" t="s">
        <v>44</v>
      </c>
      <c r="E4" s="6" t="s">
        <v>60</v>
      </c>
      <c r="F4" s="1" t="s">
        <v>4</v>
      </c>
      <c r="G4" s="6" t="s">
        <v>39</v>
      </c>
      <c r="H4" s="1" t="s">
        <v>152</v>
      </c>
      <c r="I4" s="1">
        <v>3</v>
      </c>
    </row>
    <row r="5" spans="2:9" x14ac:dyDescent="0.2">
      <c r="B5" s="6">
        <v>3</v>
      </c>
      <c r="C5" s="6" t="s">
        <v>67</v>
      </c>
      <c r="D5" s="6" t="s">
        <v>45</v>
      </c>
      <c r="E5" s="6" t="s">
        <v>60</v>
      </c>
      <c r="F5" s="1" t="s">
        <v>4</v>
      </c>
      <c r="G5" s="6" t="s">
        <v>4</v>
      </c>
      <c r="H5" s="1" t="s">
        <v>152</v>
      </c>
      <c r="I5" s="1">
        <v>3</v>
      </c>
    </row>
    <row r="6" spans="2:9" x14ac:dyDescent="0.2">
      <c r="B6" s="6">
        <v>4</v>
      </c>
      <c r="C6" s="6" t="s">
        <v>68</v>
      </c>
      <c r="D6" s="6" t="s">
        <v>45</v>
      </c>
      <c r="E6" s="6" t="s">
        <v>60</v>
      </c>
      <c r="F6" s="1" t="s">
        <v>4</v>
      </c>
      <c r="G6" s="6" t="s">
        <v>40</v>
      </c>
      <c r="H6" s="1" t="s">
        <v>4</v>
      </c>
      <c r="I6" s="1">
        <v>4</v>
      </c>
    </row>
    <row r="7" spans="2:9" x14ac:dyDescent="0.2">
      <c r="B7" s="6">
        <v>5</v>
      </c>
      <c r="C7" s="6" t="s">
        <v>69</v>
      </c>
      <c r="D7" s="6" t="s">
        <v>45</v>
      </c>
      <c r="E7" s="6" t="s">
        <v>60</v>
      </c>
      <c r="F7" s="1" t="s">
        <v>4</v>
      </c>
      <c r="G7" s="2" t="s">
        <v>360</v>
      </c>
      <c r="H7" s="1"/>
      <c r="I7" s="1"/>
    </row>
    <row r="8" spans="2:9" x14ac:dyDescent="0.2">
      <c r="B8" s="6">
        <v>6</v>
      </c>
      <c r="C8" s="6" t="s">
        <v>70</v>
      </c>
      <c r="D8" s="6" t="s">
        <v>46</v>
      </c>
      <c r="E8" s="6" t="s">
        <v>60</v>
      </c>
      <c r="F8" s="1" t="s">
        <v>4</v>
      </c>
    </row>
    <row r="9" spans="2:9" x14ac:dyDescent="0.2">
      <c r="B9" s="6">
        <v>7</v>
      </c>
      <c r="C9" s="6" t="s">
        <v>71</v>
      </c>
      <c r="D9" s="6" t="s">
        <v>46</v>
      </c>
      <c r="E9" s="6" t="s">
        <v>60</v>
      </c>
      <c r="F9" s="1" t="s">
        <v>4</v>
      </c>
    </row>
    <row r="10" spans="2:9" x14ac:dyDescent="0.2">
      <c r="B10" s="6">
        <v>8</v>
      </c>
      <c r="C10" s="6" t="s">
        <v>72</v>
      </c>
      <c r="D10" s="6" t="s">
        <v>46</v>
      </c>
      <c r="E10" s="6" t="s">
        <v>60</v>
      </c>
      <c r="F10" s="1" t="s">
        <v>4</v>
      </c>
    </row>
    <row r="11" spans="2:9" x14ac:dyDescent="0.2">
      <c r="B11" s="6">
        <v>9</v>
      </c>
      <c r="C11" s="6" t="s">
        <v>73</v>
      </c>
      <c r="D11" s="6" t="s">
        <v>52</v>
      </c>
      <c r="E11" s="6" t="s">
        <v>47</v>
      </c>
      <c r="F11" s="1" t="s">
        <v>4</v>
      </c>
    </row>
    <row r="12" spans="2:9" x14ac:dyDescent="0.2">
      <c r="B12" s="6">
        <v>10</v>
      </c>
      <c r="C12" s="6" t="s">
        <v>74</v>
      </c>
      <c r="D12" s="6" t="s">
        <v>48</v>
      </c>
      <c r="E12" s="6" t="s">
        <v>47</v>
      </c>
      <c r="F12" s="1" t="s">
        <v>4</v>
      </c>
    </row>
    <row r="13" spans="2:9" x14ac:dyDescent="0.2">
      <c r="B13" s="6">
        <v>11</v>
      </c>
      <c r="C13" s="6" t="s">
        <v>75</v>
      </c>
      <c r="D13" s="6" t="s">
        <v>48</v>
      </c>
      <c r="E13" s="6" t="s">
        <v>47</v>
      </c>
      <c r="F13" s="1" t="s">
        <v>4</v>
      </c>
    </row>
    <row r="14" spans="2:9" x14ac:dyDescent="0.2">
      <c r="B14" s="6">
        <v>12</v>
      </c>
      <c r="C14" s="6" t="s">
        <v>76</v>
      </c>
      <c r="D14" s="6" t="s">
        <v>48</v>
      </c>
      <c r="E14" s="6" t="s">
        <v>47</v>
      </c>
      <c r="F14" s="1" t="s">
        <v>4</v>
      </c>
    </row>
    <row r="15" spans="2:9" x14ac:dyDescent="0.2">
      <c r="B15" s="6">
        <v>13</v>
      </c>
      <c r="C15" s="6" t="s">
        <v>77</v>
      </c>
      <c r="D15" s="6" t="s">
        <v>49</v>
      </c>
      <c r="E15" s="6" t="s">
        <v>47</v>
      </c>
      <c r="F15" s="1" t="s">
        <v>4</v>
      </c>
    </row>
    <row r="16" spans="2:9" x14ac:dyDescent="0.2">
      <c r="B16" s="6">
        <v>14</v>
      </c>
      <c r="C16" s="6" t="s">
        <v>78</v>
      </c>
      <c r="D16" s="6" t="s">
        <v>49</v>
      </c>
      <c r="E16" s="6" t="s">
        <v>47</v>
      </c>
      <c r="F16" s="1" t="s">
        <v>4</v>
      </c>
    </row>
    <row r="17" spans="2:6" x14ac:dyDescent="0.2">
      <c r="B17" s="6">
        <v>15</v>
      </c>
      <c r="C17" s="6" t="s">
        <v>79</v>
      </c>
      <c r="D17" s="6" t="s">
        <v>49</v>
      </c>
      <c r="E17" s="6" t="s">
        <v>47</v>
      </c>
      <c r="F17" s="1" t="s">
        <v>4</v>
      </c>
    </row>
    <row r="18" spans="2:6" x14ac:dyDescent="0.2">
      <c r="B18" s="6">
        <v>16</v>
      </c>
      <c r="C18" s="6" t="s">
        <v>80</v>
      </c>
      <c r="D18" s="6" t="s">
        <v>50</v>
      </c>
      <c r="E18" s="6" t="s">
        <v>47</v>
      </c>
      <c r="F18" s="1" t="s">
        <v>4</v>
      </c>
    </row>
    <row r="19" spans="2:6" x14ac:dyDescent="0.2">
      <c r="B19" s="6">
        <v>17</v>
      </c>
      <c r="C19" s="6" t="s">
        <v>81</v>
      </c>
      <c r="D19" s="6" t="s">
        <v>50</v>
      </c>
      <c r="E19" s="6" t="s">
        <v>47</v>
      </c>
      <c r="F19" s="1" t="s">
        <v>4</v>
      </c>
    </row>
    <row r="20" spans="2:6" x14ac:dyDescent="0.2">
      <c r="B20" s="6">
        <v>18</v>
      </c>
      <c r="C20" s="6" t="s">
        <v>82</v>
      </c>
      <c r="D20" s="6" t="s">
        <v>50</v>
      </c>
      <c r="E20" s="6" t="s">
        <v>47</v>
      </c>
      <c r="F20" s="1" t="s">
        <v>4</v>
      </c>
    </row>
    <row r="21" spans="2:6" x14ac:dyDescent="0.2">
      <c r="B21" s="6">
        <v>19</v>
      </c>
      <c r="C21" s="6" t="s">
        <v>83</v>
      </c>
      <c r="D21" s="6" t="s">
        <v>50</v>
      </c>
      <c r="E21" s="6" t="s">
        <v>47</v>
      </c>
      <c r="F21" s="1" t="s">
        <v>4</v>
      </c>
    </row>
    <row r="22" spans="2:6" x14ac:dyDescent="0.2">
      <c r="B22" s="6">
        <v>20</v>
      </c>
      <c r="C22" s="6" t="s">
        <v>84</v>
      </c>
      <c r="D22" s="6" t="s">
        <v>50</v>
      </c>
      <c r="E22" s="6" t="s">
        <v>47</v>
      </c>
      <c r="F22" s="1" t="s">
        <v>4</v>
      </c>
    </row>
    <row r="23" spans="2:6" x14ac:dyDescent="0.2">
      <c r="B23" s="6">
        <v>21</v>
      </c>
      <c r="C23" s="6" t="s">
        <v>85</v>
      </c>
      <c r="D23" s="6" t="s">
        <v>51</v>
      </c>
      <c r="E23" s="7" t="s">
        <v>61</v>
      </c>
      <c r="F23" s="1" t="s">
        <v>4</v>
      </c>
    </row>
    <row r="24" spans="2:6" x14ac:dyDescent="0.2">
      <c r="B24" s="6">
        <v>22</v>
      </c>
      <c r="C24" s="6" t="s">
        <v>86</v>
      </c>
      <c r="D24" s="6" t="s">
        <v>51</v>
      </c>
      <c r="E24" s="7" t="s">
        <v>61</v>
      </c>
      <c r="F24" s="1" t="s">
        <v>4</v>
      </c>
    </row>
    <row r="25" spans="2:6" x14ac:dyDescent="0.2">
      <c r="B25" s="6">
        <v>23</v>
      </c>
      <c r="C25" s="6" t="s">
        <v>87</v>
      </c>
      <c r="D25" s="6" t="s">
        <v>51</v>
      </c>
      <c r="E25" s="7" t="s">
        <v>61</v>
      </c>
      <c r="F25" s="1" t="s">
        <v>4</v>
      </c>
    </row>
    <row r="26" spans="2:6" x14ac:dyDescent="0.2">
      <c r="B26" s="6">
        <v>24</v>
      </c>
      <c r="C26" s="6" t="s">
        <v>88</v>
      </c>
      <c r="D26" s="6" t="s">
        <v>51</v>
      </c>
      <c r="E26" s="7" t="s">
        <v>61</v>
      </c>
      <c r="F26" s="1" t="s">
        <v>4</v>
      </c>
    </row>
    <row r="27" spans="2:6" x14ac:dyDescent="0.2">
      <c r="B27" s="6">
        <v>25</v>
      </c>
      <c r="C27" s="6" t="s">
        <v>89</v>
      </c>
      <c r="D27" s="6" t="s">
        <v>51</v>
      </c>
      <c r="E27" s="7" t="s">
        <v>61</v>
      </c>
      <c r="F27" s="1" t="s">
        <v>4</v>
      </c>
    </row>
    <row r="28" spans="2:6" x14ac:dyDescent="0.2">
      <c r="B28" s="6">
        <v>26</v>
      </c>
      <c r="C28" s="6" t="s">
        <v>90</v>
      </c>
      <c r="D28" s="6" t="s">
        <v>53</v>
      </c>
      <c r="E28" s="7" t="s">
        <v>61</v>
      </c>
      <c r="F28" s="1" t="s">
        <v>4</v>
      </c>
    </row>
    <row r="29" spans="2:6" x14ac:dyDescent="0.2">
      <c r="B29" s="6">
        <v>27</v>
      </c>
      <c r="C29" s="6" t="s">
        <v>91</v>
      </c>
      <c r="D29" s="6" t="s">
        <v>53</v>
      </c>
      <c r="E29" s="7" t="s">
        <v>61</v>
      </c>
      <c r="F29" s="1" t="s">
        <v>4</v>
      </c>
    </row>
    <row r="30" spans="2:6" x14ac:dyDescent="0.2">
      <c r="B30" s="6">
        <v>28</v>
      </c>
      <c r="C30" s="6" t="s">
        <v>92</v>
      </c>
      <c r="D30" s="6" t="s">
        <v>53</v>
      </c>
      <c r="E30" s="7" t="s">
        <v>61</v>
      </c>
      <c r="F30" s="1" t="s">
        <v>4</v>
      </c>
    </row>
    <row r="31" spans="2:6" x14ac:dyDescent="0.2">
      <c r="B31" s="6">
        <v>29</v>
      </c>
      <c r="C31" s="6" t="s">
        <v>93</v>
      </c>
      <c r="D31" s="6" t="s">
        <v>53</v>
      </c>
      <c r="E31" s="7" t="s">
        <v>61</v>
      </c>
      <c r="F31" s="1" t="s">
        <v>4</v>
      </c>
    </row>
    <row r="32" spans="2:6" x14ac:dyDescent="0.2">
      <c r="B32" s="6">
        <v>30</v>
      </c>
      <c r="C32" s="6" t="s">
        <v>94</v>
      </c>
      <c r="D32" s="6" t="s">
        <v>54</v>
      </c>
      <c r="E32" s="7" t="s">
        <v>62</v>
      </c>
      <c r="F32" s="1" t="s">
        <v>4</v>
      </c>
    </row>
    <row r="33" spans="2:6" x14ac:dyDescent="0.2">
      <c r="B33" s="6">
        <v>31</v>
      </c>
      <c r="C33" s="6" t="s">
        <v>95</v>
      </c>
      <c r="D33" s="6" t="s">
        <v>54</v>
      </c>
      <c r="E33" s="7" t="s">
        <v>62</v>
      </c>
      <c r="F33" s="1" t="s">
        <v>4</v>
      </c>
    </row>
    <row r="34" spans="2:6" x14ac:dyDescent="0.2">
      <c r="B34" s="6">
        <v>32</v>
      </c>
      <c r="C34" s="6" t="s">
        <v>96</v>
      </c>
      <c r="D34" s="6" t="s">
        <v>54</v>
      </c>
      <c r="E34" s="7" t="s">
        <v>62</v>
      </c>
      <c r="F34" s="1" t="s">
        <v>4</v>
      </c>
    </row>
    <row r="35" spans="2:6" x14ac:dyDescent="0.2">
      <c r="B35" s="6">
        <v>33</v>
      </c>
      <c r="C35" s="6" t="s">
        <v>97</v>
      </c>
      <c r="D35" s="6" t="s">
        <v>54</v>
      </c>
      <c r="E35" s="7" t="s">
        <v>62</v>
      </c>
      <c r="F35" s="1" t="s">
        <v>4</v>
      </c>
    </row>
    <row r="36" spans="2:6" x14ac:dyDescent="0.2">
      <c r="B36" s="6">
        <v>34</v>
      </c>
      <c r="C36" s="6" t="s">
        <v>98</v>
      </c>
      <c r="D36" s="6" t="s">
        <v>55</v>
      </c>
      <c r="E36" s="7" t="s">
        <v>62</v>
      </c>
      <c r="F36" s="1" t="s">
        <v>4</v>
      </c>
    </row>
    <row r="37" spans="2:6" x14ac:dyDescent="0.2">
      <c r="B37" s="6">
        <v>35</v>
      </c>
      <c r="C37" s="6" t="s">
        <v>99</v>
      </c>
      <c r="D37" s="6" t="s">
        <v>55</v>
      </c>
      <c r="E37" s="7" t="s">
        <v>62</v>
      </c>
      <c r="F37" s="1" t="s">
        <v>4</v>
      </c>
    </row>
    <row r="38" spans="2:6" x14ac:dyDescent="0.2">
      <c r="B38" s="6">
        <v>36</v>
      </c>
      <c r="C38" s="6" t="s">
        <v>100</v>
      </c>
      <c r="D38" s="6" t="s">
        <v>55</v>
      </c>
      <c r="E38" s="7" t="s">
        <v>62</v>
      </c>
      <c r="F38" s="1" t="s">
        <v>4</v>
      </c>
    </row>
    <row r="39" spans="2:6" x14ac:dyDescent="0.2">
      <c r="B39" s="6">
        <v>37</v>
      </c>
      <c r="C39" s="6" t="s">
        <v>101</v>
      </c>
      <c r="D39" s="6" t="s">
        <v>55</v>
      </c>
      <c r="E39" s="7" t="s">
        <v>62</v>
      </c>
      <c r="F39" s="1" t="s">
        <v>4</v>
      </c>
    </row>
    <row r="40" spans="2:6" x14ac:dyDescent="0.2">
      <c r="B40" s="6">
        <v>38</v>
      </c>
      <c r="C40" s="6" t="s">
        <v>25</v>
      </c>
      <c r="D40" s="6" t="s">
        <v>26</v>
      </c>
      <c r="E40" s="6" t="s">
        <v>27</v>
      </c>
      <c r="F40" s="1" t="s">
        <v>4</v>
      </c>
    </row>
    <row r="41" spans="2:6" x14ac:dyDescent="0.2">
      <c r="B41" s="6">
        <v>39</v>
      </c>
      <c r="C41" s="6" t="s">
        <v>106</v>
      </c>
      <c r="D41" s="6" t="s">
        <v>26</v>
      </c>
      <c r="E41" s="6" t="s">
        <v>27</v>
      </c>
      <c r="F41" s="1" t="s">
        <v>4</v>
      </c>
    </row>
    <row r="42" spans="2:6" x14ac:dyDescent="0.2">
      <c r="B42" s="6">
        <v>40</v>
      </c>
      <c r="C42" s="6" t="s">
        <v>34</v>
      </c>
      <c r="D42" s="6" t="s">
        <v>26</v>
      </c>
      <c r="E42" s="6" t="s">
        <v>27</v>
      </c>
      <c r="F42" s="1" t="s">
        <v>4</v>
      </c>
    </row>
    <row r="43" spans="2:6" x14ac:dyDescent="0.2">
      <c r="B43" s="6">
        <v>41</v>
      </c>
      <c r="C43" s="6" t="s">
        <v>35</v>
      </c>
      <c r="D43" s="6" t="s">
        <v>31</v>
      </c>
      <c r="E43" s="6" t="s">
        <v>27</v>
      </c>
      <c r="F43" s="1" t="s">
        <v>4</v>
      </c>
    </row>
    <row r="44" spans="2:6" x14ac:dyDescent="0.2">
      <c r="B44" s="6">
        <v>42</v>
      </c>
      <c r="C44" s="6" t="s">
        <v>36</v>
      </c>
      <c r="D44" s="6" t="s">
        <v>31</v>
      </c>
      <c r="E44" s="6" t="s">
        <v>27</v>
      </c>
      <c r="F44" s="1" t="s">
        <v>4</v>
      </c>
    </row>
    <row r="45" spans="2:6" x14ac:dyDescent="0.2">
      <c r="B45" s="6">
        <v>43</v>
      </c>
      <c r="C45" s="6" t="s">
        <v>107</v>
      </c>
      <c r="D45" s="6" t="s">
        <v>31</v>
      </c>
      <c r="E45" s="6" t="s">
        <v>27</v>
      </c>
      <c r="F45" s="1" t="s">
        <v>4</v>
      </c>
    </row>
    <row r="46" spans="2:6" x14ac:dyDescent="0.2">
      <c r="B46" s="6">
        <v>44</v>
      </c>
      <c r="C46" s="6" t="s">
        <v>102</v>
      </c>
      <c r="D46" s="6" t="s">
        <v>56</v>
      </c>
      <c r="E46" s="6" t="s">
        <v>32</v>
      </c>
      <c r="F46" s="1" t="s">
        <v>4</v>
      </c>
    </row>
    <row r="47" spans="2:6" x14ac:dyDescent="0.2">
      <c r="B47" s="6">
        <v>45</v>
      </c>
      <c r="C47" s="6" t="s">
        <v>104</v>
      </c>
      <c r="D47" s="6" t="s">
        <v>56</v>
      </c>
      <c r="E47" s="6" t="s">
        <v>32</v>
      </c>
      <c r="F47" s="1" t="s">
        <v>4</v>
      </c>
    </row>
    <row r="48" spans="2:6" x14ac:dyDescent="0.2">
      <c r="B48" s="6">
        <v>46</v>
      </c>
      <c r="C48" s="6" t="s">
        <v>105</v>
      </c>
      <c r="D48" s="6" t="s">
        <v>57</v>
      </c>
      <c r="E48" s="6" t="s">
        <v>32</v>
      </c>
      <c r="F48" s="1" t="s">
        <v>4</v>
      </c>
    </row>
    <row r="49" spans="2:6" x14ac:dyDescent="0.2">
      <c r="B49" s="6">
        <v>47</v>
      </c>
      <c r="C49" s="6" t="s">
        <v>103</v>
      </c>
      <c r="D49" s="6" t="s">
        <v>57</v>
      </c>
      <c r="E49" s="6" t="s">
        <v>32</v>
      </c>
      <c r="F49" s="1" t="s">
        <v>4</v>
      </c>
    </row>
    <row r="50" spans="2:6" x14ac:dyDescent="0.2">
      <c r="B50" s="6">
        <v>48</v>
      </c>
      <c r="C50" s="6" t="s">
        <v>108</v>
      </c>
      <c r="D50" s="6" t="s">
        <v>57</v>
      </c>
      <c r="E50" s="6" t="s">
        <v>32</v>
      </c>
      <c r="F50" s="1" t="s">
        <v>4</v>
      </c>
    </row>
    <row r="51" spans="2:6" x14ac:dyDescent="0.2">
      <c r="B51" s="6">
        <v>49</v>
      </c>
      <c r="C51" s="6" t="s">
        <v>109</v>
      </c>
      <c r="D51" s="6" t="s">
        <v>58</v>
      </c>
      <c r="E51" s="6" t="s">
        <v>63</v>
      </c>
      <c r="F51" s="1" t="s">
        <v>4</v>
      </c>
    </row>
    <row r="52" spans="2:6" x14ac:dyDescent="0.2">
      <c r="B52" s="6">
        <v>50</v>
      </c>
      <c r="C52" s="6" t="s">
        <v>110</v>
      </c>
      <c r="D52" s="6" t="s">
        <v>58</v>
      </c>
      <c r="E52" s="6" t="s">
        <v>63</v>
      </c>
      <c r="F52" s="1" t="s">
        <v>4</v>
      </c>
    </row>
    <row r="53" spans="2:6" x14ac:dyDescent="0.2">
      <c r="B53" s="6">
        <v>51</v>
      </c>
      <c r="C53" s="6" t="s">
        <v>111</v>
      </c>
      <c r="D53" s="6" t="s">
        <v>58</v>
      </c>
      <c r="E53" s="6" t="s">
        <v>63</v>
      </c>
      <c r="F53" s="1" t="s">
        <v>4</v>
      </c>
    </row>
    <row r="54" spans="2:6" x14ac:dyDescent="0.2">
      <c r="B54" s="6">
        <v>52</v>
      </c>
      <c r="C54" s="6" t="s">
        <v>112</v>
      </c>
      <c r="D54" s="6" t="s">
        <v>58</v>
      </c>
      <c r="E54" s="6" t="s">
        <v>63</v>
      </c>
      <c r="F54" s="1" t="s">
        <v>4</v>
      </c>
    </row>
    <row r="55" spans="2:6" x14ac:dyDescent="0.2">
      <c r="B55" s="6">
        <v>53</v>
      </c>
      <c r="C55" s="6" t="s">
        <v>113</v>
      </c>
      <c r="D55" s="6" t="s">
        <v>59</v>
      </c>
      <c r="E55" s="6" t="s">
        <v>63</v>
      </c>
      <c r="F55" s="1" t="s">
        <v>4</v>
      </c>
    </row>
    <row r="56" spans="2:6" x14ac:dyDescent="0.2">
      <c r="B56" s="6">
        <v>54</v>
      </c>
      <c r="C56" s="6" t="s">
        <v>114</v>
      </c>
      <c r="D56" s="6" t="s">
        <v>59</v>
      </c>
      <c r="E56" s="6" t="s">
        <v>63</v>
      </c>
      <c r="F56" s="1" t="s">
        <v>4</v>
      </c>
    </row>
    <row r="57" spans="2:6" x14ac:dyDescent="0.2">
      <c r="B57" s="6">
        <v>55</v>
      </c>
      <c r="C57" s="6" t="s">
        <v>115</v>
      </c>
      <c r="D57" s="6" t="s">
        <v>59</v>
      </c>
      <c r="E57" s="6" t="s">
        <v>63</v>
      </c>
      <c r="F57" s="1" t="s">
        <v>4</v>
      </c>
    </row>
    <row r="58" spans="2:6" x14ac:dyDescent="0.2">
      <c r="B58" s="6">
        <v>56</v>
      </c>
      <c r="C58" s="6" t="s">
        <v>116</v>
      </c>
      <c r="D58" s="6" t="s">
        <v>59</v>
      </c>
      <c r="E58" s="6" t="s">
        <v>63</v>
      </c>
      <c r="F58" s="1" t="s">
        <v>4</v>
      </c>
    </row>
    <row r="59" spans="2:6" x14ac:dyDescent="0.2">
      <c r="B59" s="6">
        <v>57</v>
      </c>
      <c r="C59" s="6" t="s">
        <v>117</v>
      </c>
      <c r="D59" s="6" t="s">
        <v>59</v>
      </c>
      <c r="E59" s="6" t="s">
        <v>63</v>
      </c>
      <c r="F59" s="1" t="s">
        <v>4</v>
      </c>
    </row>
    <row r="60" spans="2:6" x14ac:dyDescent="0.2">
      <c r="B60" s="6">
        <v>58</v>
      </c>
      <c r="C60" s="6" t="s">
        <v>118</v>
      </c>
      <c r="D60" s="6" t="s">
        <v>59</v>
      </c>
      <c r="E60" s="6" t="s">
        <v>63</v>
      </c>
      <c r="F60" s="1" t="s">
        <v>4</v>
      </c>
    </row>
    <row r="61" spans="2:6" x14ac:dyDescent="0.2">
      <c r="B61" s="6">
        <v>59</v>
      </c>
      <c r="C61" s="6" t="s">
        <v>119</v>
      </c>
      <c r="D61" s="6" t="s">
        <v>59</v>
      </c>
      <c r="E61" s="6" t="s">
        <v>63</v>
      </c>
      <c r="F61" s="1" t="s">
        <v>4</v>
      </c>
    </row>
    <row r="62" spans="2:6" x14ac:dyDescent="0.2">
      <c r="B62" s="6">
        <v>60</v>
      </c>
      <c r="C62" s="6" t="s">
        <v>120</v>
      </c>
      <c r="D62" s="6" t="s">
        <v>59</v>
      </c>
      <c r="E62" s="6" t="s">
        <v>63</v>
      </c>
      <c r="F62" s="1" t="s">
        <v>4</v>
      </c>
    </row>
    <row r="63" spans="2:6" x14ac:dyDescent="0.2">
      <c r="B63" s="6">
        <v>61</v>
      </c>
      <c r="C63" s="6" t="s">
        <v>121</v>
      </c>
      <c r="D63" s="6" t="s">
        <v>64</v>
      </c>
      <c r="E63" s="6" t="s">
        <v>64</v>
      </c>
      <c r="F63" s="1" t="s">
        <v>4</v>
      </c>
    </row>
    <row r="64" spans="2:6" x14ac:dyDescent="0.2">
      <c r="B64" s="6">
        <v>62</v>
      </c>
      <c r="C64" s="1" t="s">
        <v>205</v>
      </c>
      <c r="D64" s="1" t="s">
        <v>205</v>
      </c>
      <c r="E64" s="1" t="s">
        <v>360</v>
      </c>
      <c r="F64" s="1" t="s">
        <v>361</v>
      </c>
    </row>
    <row r="65" spans="2:6" x14ac:dyDescent="0.2">
      <c r="B65" s="1"/>
      <c r="C65" s="1" t="s">
        <v>149</v>
      </c>
      <c r="D65" s="1" t="s">
        <v>149</v>
      </c>
      <c r="E65" s="1" t="s">
        <v>149</v>
      </c>
      <c r="F65" s="1" t="s">
        <v>149</v>
      </c>
    </row>
  </sheetData>
  <sheetProtection password="AA7A" sheet="1" objects="1" scenarios="1"/>
  <phoneticPr fontId="36"/>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1.基本データ(このシートは削除しないこと！)</vt:lpstr>
      <vt:lpstr>2.様式第1号(特別簡易型)</vt:lpstr>
      <vt:lpstr>3.様式第11号-1(特別簡易型)</vt:lpstr>
      <vt:lpstr>リスト</vt:lpstr>
      <vt:lpstr>リスト2</vt:lpstr>
      <vt:lpstr>'1.基本データ(このシートは削除しないこと！)'!Print_Area</vt:lpstr>
      <vt:lpstr>'2.様式第1号(特別簡易型)'!Print_Area</vt:lpstr>
      <vt:lpstr>'3.様式第11号-1(特別簡易型)'!Print_Area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酒井 英人</cp:lastModifiedBy>
  <cp:lastPrinted>2024-01-10T23:51:41Z</cp:lastPrinted>
  <dcterms:created xsi:type="dcterms:W3CDTF">2018-06-11T09:00:18Z</dcterms:created>
  <dcterms:modified xsi:type="dcterms:W3CDTF">2024-01-12T12:00:51Z</dcterms:modified>
</cp:coreProperties>
</file>