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77.163\2013\006 要綱・要領\R05\17　20240327_福島県総合評価方式実施要領の運用について\04 HP\"/>
    </mc:Choice>
  </mc:AlternateContent>
  <workbookProtection workbookPassword="B050" lockStructure="1"/>
  <bookViews>
    <workbookView xWindow="0" yWindow="0" windowWidth="28800" windowHeight="12336" tabRatio="763"/>
  </bookViews>
  <sheets>
    <sheet name="1.基本データ(このシートは削除しないこと！)" sheetId="5" r:id="rId1"/>
    <sheet name="2.様式第1号、第11号-2(地域密着型)" sheetId="2" r:id="rId2"/>
    <sheet name="リスト" sheetId="8" r:id="rId3"/>
    <sheet name="リスト2" sheetId="9" r:id="rId4"/>
  </sheets>
  <definedNames>
    <definedName name="_xlnm.Print_Area" localSheetId="0">'1.基本データ(このシートは削除しないこと！)'!$B$1:$F$51</definedName>
    <definedName name="_xlnm.Print_Area" localSheetId="1">'2.様式第1号、第11号-2(地域密着型)'!$B$1:$S$101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1" i="2" l="1"/>
  <c r="S1" i="2"/>
  <c r="L17" i="2" l="1"/>
  <c r="C20" i="2"/>
  <c r="H10" i="5"/>
  <c r="L16" i="2"/>
  <c r="L14" i="2"/>
  <c r="L13" i="2"/>
  <c r="K11" i="2" l="1"/>
  <c r="L10" i="2"/>
  <c r="E50" i="2"/>
  <c r="AF99" i="2" l="1"/>
  <c r="AF100" i="2" s="1"/>
  <c r="V100" i="2"/>
  <c r="V60" i="2"/>
  <c r="V59" i="2"/>
  <c r="E60" i="2"/>
  <c r="H16" i="5"/>
  <c r="X79" i="2" s="1"/>
  <c r="AE60" i="2" l="1"/>
  <c r="AF60" i="2" s="1"/>
  <c r="AP60" i="2" s="1"/>
  <c r="F60" i="2" s="1"/>
  <c r="AH99" i="2"/>
  <c r="AG99" i="2"/>
  <c r="AI99" i="2"/>
  <c r="AF101" i="2"/>
  <c r="V79" i="2"/>
  <c r="V78" i="2" l="1"/>
  <c r="V77" i="2"/>
  <c r="S47" i="2" l="1"/>
  <c r="E78" i="2" l="1"/>
  <c r="AU93" i="2" l="1"/>
  <c r="AV93" i="2" l="1"/>
  <c r="AU101" i="2" l="1"/>
  <c r="AV101" i="2" s="1"/>
  <c r="AA78" i="2"/>
  <c r="AA77" i="2"/>
  <c r="V76" i="2"/>
  <c r="W55" i="2"/>
  <c r="AB78" i="2" l="1"/>
  <c r="W78" i="2"/>
  <c r="X78" i="2" s="1"/>
  <c r="W77" i="2"/>
  <c r="X77" i="2" s="1"/>
  <c r="AB77" i="2"/>
  <c r="AQ80" i="2" s="1"/>
  <c r="F78" i="2" s="1"/>
  <c r="E80" i="2" l="1"/>
  <c r="X83" i="2" l="1"/>
  <c r="AO82" i="2" l="1"/>
  <c r="AE86" i="2"/>
  <c r="Z82" i="2"/>
  <c r="AB85" i="2"/>
  <c r="AA85" i="2"/>
  <c r="AB84" i="2"/>
  <c r="AA84" i="2"/>
  <c r="AB83" i="2"/>
  <c r="AA83" i="2"/>
  <c r="AB82" i="2"/>
  <c r="AA82" i="2"/>
  <c r="AI56" i="2"/>
  <c r="AK56" i="2" s="1"/>
  <c r="AI55" i="2"/>
  <c r="AK55" i="2" s="1"/>
  <c r="H5" i="5"/>
  <c r="H11" i="5"/>
  <c r="E76" i="2" s="1"/>
  <c r="H9" i="5"/>
  <c r="H8" i="5"/>
  <c r="H7" i="5"/>
  <c r="H6" i="5"/>
  <c r="AC82" i="2" l="1"/>
  <c r="AF97" i="2" l="1"/>
  <c r="AF98" i="2" s="1"/>
  <c r="AF95" i="2"/>
  <c r="AF96" i="2" s="1"/>
  <c r="AF92" i="2"/>
  <c r="AF91" i="2"/>
  <c r="AF90" i="2"/>
  <c r="AF94" i="2" l="1"/>
  <c r="AF93" i="2"/>
  <c r="H13" i="5"/>
  <c r="H17" i="5" l="1"/>
  <c r="AP100" i="2" l="1"/>
  <c r="AN99" i="2"/>
  <c r="AP101" i="2"/>
  <c r="AP99" i="2"/>
  <c r="AN101" i="2"/>
  <c r="AN100" i="2"/>
  <c r="X99" i="2"/>
  <c r="X101" i="2" l="1"/>
  <c r="X100" i="2"/>
  <c r="V63" i="2"/>
  <c r="W56" i="2" l="1"/>
  <c r="AC52" i="2"/>
  <c r="W62" i="2"/>
  <c r="V64" i="2"/>
  <c r="V62" i="2"/>
  <c r="Y62" i="2" l="1"/>
  <c r="AC54" i="2"/>
  <c r="AC53" i="2"/>
  <c r="S74" i="2" l="1"/>
  <c r="AC56" i="2" l="1"/>
  <c r="AE56" i="2" s="1"/>
  <c r="V56" i="2"/>
  <c r="AB95" i="2" l="1"/>
  <c r="AB96" i="2" s="1"/>
  <c r="Z95" i="2"/>
  <c r="Z96" i="2" s="1"/>
  <c r="Z97" i="2" l="1"/>
  <c r="Z98" i="2" s="1"/>
  <c r="Y97" i="2"/>
  <c r="Y98" i="2" s="1"/>
  <c r="X97" i="2"/>
  <c r="X98" i="2" s="1"/>
  <c r="V98" i="2"/>
  <c r="V97" i="2"/>
  <c r="V95" i="2" l="1"/>
  <c r="V94" i="2"/>
  <c r="V93" i="2"/>
  <c r="V92" i="2"/>
  <c r="V91" i="2"/>
  <c r="V90" i="2"/>
  <c r="V53" i="2"/>
  <c r="W92" i="2" l="1"/>
  <c r="V66" i="2"/>
  <c r="V68" i="2"/>
  <c r="V67" i="2"/>
  <c r="V61" i="2"/>
  <c r="V58" i="2"/>
  <c r="AP59" i="2"/>
  <c r="F59" i="2" s="1"/>
  <c r="V55" i="2"/>
  <c r="V52" i="2"/>
  <c r="E79" i="2"/>
  <c r="E59" i="2"/>
  <c r="Y55" i="2" l="1"/>
  <c r="AP56" i="2" l="1"/>
  <c r="F55" i="2" s="1"/>
  <c r="E58" i="2" l="1"/>
  <c r="AP58" i="2"/>
  <c r="F58" i="2" s="1"/>
  <c r="AF85" i="2" l="1"/>
  <c r="AF84" i="2"/>
  <c r="AF83" i="2"/>
  <c r="AF82" i="2"/>
  <c r="X85" i="2"/>
  <c r="X84" i="2"/>
  <c r="X95" i="2" l="1"/>
  <c r="X96" i="2" s="1"/>
  <c r="X92" i="2"/>
  <c r="X91" i="2"/>
  <c r="X90" i="2"/>
  <c r="AE62" i="2"/>
  <c r="AP62" i="2" s="1"/>
  <c r="F62" i="2" s="1"/>
  <c r="W52" i="2"/>
  <c r="X94" i="2" l="1"/>
  <c r="X93" i="2"/>
  <c r="AF79" i="2"/>
  <c r="AG79" i="2" s="1"/>
  <c r="W79" i="2"/>
  <c r="AF78" i="2" s="1"/>
  <c r="AG78" i="2" s="1"/>
  <c r="E21" i="5"/>
  <c r="E20" i="5"/>
  <c r="D21" i="5"/>
  <c r="D20" i="5"/>
  <c r="AF77" i="2" l="1"/>
  <c r="AG77" i="2" s="1"/>
  <c r="Y79" i="2"/>
  <c r="AQ81" i="2" l="1"/>
  <c r="F79" i="2" s="1"/>
  <c r="AP90" i="2"/>
  <c r="AP91" i="2"/>
  <c r="AP95" i="2"/>
  <c r="AP98" i="2"/>
  <c r="AP92" i="2"/>
  <c r="AP97" i="2"/>
  <c r="AP94" i="2"/>
  <c r="AP93" i="2"/>
  <c r="AP96" i="2"/>
  <c r="E52" i="2" l="1"/>
  <c r="E55" i="2"/>
  <c r="E62" i="2"/>
  <c r="E66" i="2"/>
  <c r="E91" i="2"/>
  <c r="E90" i="2"/>
  <c r="E95" i="2"/>
  <c r="E97" i="2"/>
  <c r="AO94" i="2" l="1"/>
  <c r="AN94" i="2"/>
  <c r="V101" i="2"/>
  <c r="V99" i="2"/>
  <c r="AE95" i="2" l="1"/>
  <c r="AE96" i="2" s="1"/>
  <c r="AB97" i="2"/>
  <c r="AB99" i="2"/>
  <c r="AB92" i="2"/>
  <c r="AB91" i="2"/>
  <c r="AE91" i="2" s="1"/>
  <c r="AB90" i="2"/>
  <c r="AE90" i="2" s="1"/>
  <c r="Z99" i="2"/>
  <c r="Z100" i="2" s="1"/>
  <c r="Z92" i="2"/>
  <c r="Z91" i="2"/>
  <c r="Z90" i="2"/>
  <c r="Y99" i="2"/>
  <c r="Y100" i="2" s="1"/>
  <c r="Y95" i="2"/>
  <c r="Y96" i="2" s="1"/>
  <c r="Y92" i="2"/>
  <c r="Y91" i="2"/>
  <c r="Y90" i="2"/>
  <c r="V96" i="2"/>
  <c r="AE97" i="2" l="1"/>
  <c r="AE98" i="2" s="1"/>
  <c r="AB98" i="2"/>
  <c r="Z93" i="2"/>
  <c r="Z94" i="2"/>
  <c r="Y93" i="2"/>
  <c r="Y94" i="2"/>
  <c r="AE92" i="2"/>
  <c r="AB93" i="2"/>
  <c r="AB94" i="2"/>
  <c r="AE99" i="2"/>
  <c r="AE100" i="2" s="1"/>
  <c r="AB100" i="2"/>
  <c r="W95" i="2"/>
  <c r="Z101" i="2"/>
  <c r="AB101" i="2"/>
  <c r="Y101" i="2"/>
  <c r="AE82" i="2"/>
  <c r="AG82" i="2" s="1"/>
  <c r="AE93" i="2" l="1"/>
  <c r="AE94" i="2"/>
  <c r="W97" i="2"/>
  <c r="W99" i="2" s="1"/>
  <c r="AE101" i="2"/>
  <c r="W82" i="2" l="1"/>
  <c r="W81" i="2"/>
  <c r="Z83" i="2" s="1"/>
  <c r="AC83" i="2" s="1"/>
  <c r="W85" i="2"/>
  <c r="W84" i="2"/>
  <c r="AE83" i="2" s="1"/>
  <c r="Z85" i="2" l="1"/>
  <c r="AC85" i="2" s="1"/>
  <c r="Z84" i="2"/>
  <c r="AC84" i="2" s="1"/>
  <c r="AE54" i="2"/>
  <c r="AE53" i="2"/>
  <c r="AE52" i="2"/>
  <c r="W66" i="2"/>
  <c r="AC81" i="2" l="1"/>
  <c r="AO87" i="2" s="1"/>
  <c r="Y66" i="2"/>
  <c r="Y52" i="2"/>
  <c r="AP52" i="2" s="1"/>
  <c r="AP66" i="2" l="1"/>
  <c r="AE66" i="2"/>
  <c r="AO86" i="2"/>
  <c r="AO85" i="2"/>
  <c r="W83" i="2"/>
  <c r="F52" i="2"/>
  <c r="F66" i="2"/>
  <c r="AS81" i="2" l="1"/>
  <c r="Y87" i="2"/>
  <c r="B88" i="2" s="1"/>
  <c r="H15" i="5"/>
  <c r="H14" i="5"/>
  <c r="F90" i="2" l="1"/>
  <c r="E49" i="2"/>
  <c r="E75" i="2" s="1"/>
  <c r="AA91" i="2"/>
  <c r="AA90" i="2"/>
  <c r="AA99" i="2"/>
  <c r="AA100" i="2" s="1"/>
  <c r="AA97" i="2"/>
  <c r="AA98" i="2" s="1"/>
  <c r="AA92" i="2"/>
  <c r="AA95" i="2"/>
  <c r="AA96" i="2" s="1"/>
  <c r="AC91" i="2"/>
  <c r="AC97" i="2"/>
  <c r="AC98" i="2" s="1"/>
  <c r="AC92" i="2"/>
  <c r="AC90" i="2"/>
  <c r="AC99" i="2"/>
  <c r="AC100" i="2" s="1"/>
  <c r="AC95" i="2"/>
  <c r="AC96" i="2" s="1"/>
  <c r="AE85" i="2"/>
  <c r="AG85" i="2" s="1"/>
  <c r="AE84" i="2"/>
  <c r="AG84" i="2" s="1"/>
  <c r="AA94" i="2" l="1"/>
  <c r="AA93" i="2"/>
  <c r="AC93" i="2"/>
  <c r="AC94" i="2"/>
  <c r="AD95" i="2"/>
  <c r="AD96" i="2" s="1"/>
  <c r="AC101" i="2"/>
  <c r="AA101" i="2"/>
  <c r="AD92" i="2"/>
  <c r="AD99" i="2"/>
  <c r="AD90" i="2"/>
  <c r="AK90" i="2" s="1"/>
  <c r="AD97" i="2"/>
  <c r="AD98" i="2" s="1"/>
  <c r="AD91" i="2"/>
  <c r="AD94" i="2" l="1"/>
  <c r="AD93" i="2"/>
  <c r="AD100" i="2"/>
  <c r="AK99" i="2"/>
  <c r="AL99" i="2"/>
  <c r="AM99" i="2"/>
  <c r="AO99" i="2" s="1"/>
  <c r="AK92" i="2"/>
  <c r="AL92" i="2"/>
  <c r="AK95" i="2"/>
  <c r="AL95" i="2"/>
  <c r="AK96" i="2"/>
  <c r="AL96" i="2"/>
  <c r="AK91" i="2"/>
  <c r="AL91" i="2"/>
  <c r="AL90" i="2"/>
  <c r="AN90" i="2" s="1"/>
  <c r="AK98" i="2"/>
  <c r="AL98" i="2"/>
  <c r="AK97" i="2"/>
  <c r="AL97" i="2"/>
  <c r="AM97" i="2"/>
  <c r="AM92" i="2"/>
  <c r="AM95" i="2"/>
  <c r="AM91" i="2"/>
  <c r="AM98" i="2"/>
  <c r="AM96" i="2"/>
  <c r="AO96" i="2" s="1"/>
  <c r="AM90" i="2"/>
  <c r="AD101" i="2"/>
  <c r="AL93" i="2" l="1"/>
  <c r="AK93" i="2"/>
  <c r="AN93" i="2" s="1"/>
  <c r="AM93" i="2"/>
  <c r="AO93" i="2" s="1"/>
  <c r="AM94" i="2"/>
  <c r="AK94" i="2"/>
  <c r="AL94" i="2"/>
  <c r="AO97" i="2"/>
  <c r="AO92" i="2"/>
  <c r="AL101" i="2"/>
  <c r="AK101" i="2"/>
  <c r="AM101" i="2"/>
  <c r="AO101" i="2" s="1"/>
  <c r="AL100" i="2"/>
  <c r="AK100" i="2"/>
  <c r="AM100" i="2"/>
  <c r="AO95" i="2"/>
  <c r="AO91" i="2"/>
  <c r="AO90" i="2"/>
  <c r="AO98" i="2"/>
  <c r="F95" i="2"/>
  <c r="AN98" i="2"/>
  <c r="AW81" i="2"/>
  <c r="AN95" i="2"/>
  <c r="AN92" i="2"/>
  <c r="AN97" i="2"/>
  <c r="AN96" i="2"/>
  <c r="AN91" i="2"/>
  <c r="AS82" i="2"/>
  <c r="AS84" i="2"/>
  <c r="AS83" i="2"/>
  <c r="AO100" i="2" l="1"/>
  <c r="AQ99" i="2" s="1"/>
  <c r="AQ91" i="2"/>
  <c r="F91" i="2" s="1"/>
  <c r="AQ97" i="2"/>
  <c r="F97" i="2" s="1"/>
  <c r="AS85" i="2"/>
  <c r="AS89" i="2" s="1"/>
  <c r="AQ95" i="2"/>
  <c r="AQ92" i="2"/>
  <c r="AS99" i="2" l="1"/>
  <c r="AT92" i="2"/>
  <c r="AS92" i="2"/>
  <c r="AT99" i="2"/>
  <c r="AR97" i="2"/>
  <c r="AR95" i="2"/>
  <c r="AR92" i="2"/>
  <c r="AR99" i="2"/>
  <c r="AU92" i="2" l="1"/>
  <c r="F92" i="2"/>
  <c r="AU99" i="2"/>
  <c r="F99" i="2" s="1"/>
  <c r="AG83" i="2"/>
  <c r="AW82" i="2" s="1"/>
  <c r="AW83" i="2" s="1"/>
  <c r="AQ90" i="2" s="1"/>
  <c r="AG81" i="2" l="1"/>
  <c r="W86" i="2" s="1"/>
  <c r="X86" i="2" l="1"/>
  <c r="AH81" i="2"/>
  <c r="W87" i="2" s="1"/>
  <c r="K86" i="2" s="1"/>
  <c r="AP86" i="2"/>
  <c r="AP87" i="2"/>
  <c r="AP85" i="2"/>
  <c r="AT81" i="2"/>
  <c r="AT84" i="2"/>
  <c r="AT83" i="2"/>
  <c r="AT82" i="2"/>
  <c r="X87" i="2" l="1"/>
  <c r="K87" i="2" s="1"/>
  <c r="AQ87" i="2"/>
  <c r="F80" i="2" s="1"/>
  <c r="V47" i="2" s="1"/>
  <c r="D23" i="5" s="1"/>
  <c r="AT85" i="2"/>
  <c r="AT86" i="2" l="1"/>
  <c r="AT87" i="2" s="1"/>
</calcChain>
</file>

<file path=xl/sharedStrings.xml><?xml version="1.0" encoding="utf-8"?>
<sst xmlns="http://schemas.openxmlformats.org/spreadsheetml/2006/main" count="694" uniqueCount="392">
  <si>
    <t>項　　　　目</t>
  </si>
  <si>
    <t>配置技術者</t>
  </si>
  <si>
    <t>項目</t>
    <phoneticPr fontId="18"/>
  </si>
  <si>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</si>
  <si>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</si>
  <si>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4"/>
  </si>
  <si>
    <t>県内</t>
    <rPh sb="0" eb="2">
      <t>ケンナイ</t>
    </rPh>
    <phoneticPr fontId="34"/>
  </si>
  <si>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</si>
  <si>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</si>
  <si>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</si>
  <si>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</si>
  <si>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</si>
  <si>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</si>
  <si>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</si>
  <si>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4"/>
  </si>
  <si>
    <t>（作成担当者</t>
    <phoneticPr fontId="34"/>
  </si>
  <si>
    <t>　福　島　県</t>
    <phoneticPr fontId="34"/>
  </si>
  <si>
    <t>工期</t>
    <rPh sb="0" eb="2">
      <t>コウキ</t>
    </rPh>
    <phoneticPr fontId="34"/>
  </si>
  <si>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4"/>
  </si>
  <si>
    <t>同一市町村内の工事実績</t>
    <rPh sb="0" eb="2">
      <t>ドウイツ</t>
    </rPh>
    <rPh sb="2" eb="5">
      <t>シチョウソン</t>
    </rPh>
    <rPh sb="5" eb="6">
      <t>ナイ</t>
    </rPh>
    <rPh sb="7" eb="9">
      <t>コウジ</t>
    </rPh>
    <rPh sb="9" eb="11">
      <t>ジッセキ</t>
    </rPh>
    <phoneticPr fontId="34"/>
  </si>
  <si>
    <t>入札参加者の所在建設</t>
    <rPh sb="0" eb="2">
      <t>ニュウサツ</t>
    </rPh>
    <rPh sb="2" eb="5">
      <t>サンカシャ</t>
    </rPh>
    <rPh sb="6" eb="8">
      <t>ショザイ</t>
    </rPh>
    <rPh sb="8" eb="10">
      <t>ケンセツ</t>
    </rPh>
    <phoneticPr fontId="34"/>
  </si>
  <si>
    <t>有無</t>
    <rPh sb="0" eb="2">
      <t>ウム</t>
    </rPh>
    <phoneticPr fontId="34"/>
  </si>
  <si>
    <t>5年以内</t>
    <rPh sb="1" eb="2">
      <t>ネン</t>
    </rPh>
    <rPh sb="2" eb="4">
      <t>イナイ</t>
    </rPh>
    <phoneticPr fontId="34"/>
  </si>
  <si>
    <t>喜多方市</t>
    <rPh sb="0" eb="3">
      <t>キタカタ</t>
    </rPh>
    <rPh sb="3" eb="4">
      <t>シ</t>
    </rPh>
    <phoneticPr fontId="34"/>
  </si>
  <si>
    <t>喜多方土木</t>
    <rPh sb="0" eb="3">
      <t>キタカタ</t>
    </rPh>
    <rPh sb="3" eb="5">
      <t>ドボク</t>
    </rPh>
    <phoneticPr fontId="34"/>
  </si>
  <si>
    <t>喜多方建設</t>
    <rPh sb="0" eb="3">
      <t>キタカタ</t>
    </rPh>
    <rPh sb="3" eb="5">
      <t>ケンセツ</t>
    </rPh>
    <phoneticPr fontId="34"/>
  </si>
  <si>
    <t>有</t>
    <rPh sb="0" eb="1">
      <t>ア</t>
    </rPh>
    <phoneticPr fontId="34"/>
  </si>
  <si>
    <t>準本店</t>
    <rPh sb="0" eb="1">
      <t>ジュン</t>
    </rPh>
    <rPh sb="1" eb="3">
      <t>ホンテン</t>
    </rPh>
    <phoneticPr fontId="34"/>
  </si>
  <si>
    <t>5～10年以内</t>
    <rPh sb="4" eb="5">
      <t>ネン</t>
    </rPh>
    <rPh sb="5" eb="7">
      <t>イナイ</t>
    </rPh>
    <phoneticPr fontId="34"/>
  </si>
  <si>
    <t>猪苗代土木</t>
    <rPh sb="0" eb="3">
      <t>イナワシロ</t>
    </rPh>
    <rPh sb="3" eb="5">
      <t>ドボク</t>
    </rPh>
    <phoneticPr fontId="34"/>
  </si>
  <si>
    <t>南会津建設</t>
    <rPh sb="0" eb="3">
      <t>ミナミアイヅ</t>
    </rPh>
    <rPh sb="3" eb="5">
      <t>ケンセツ</t>
    </rPh>
    <phoneticPr fontId="34"/>
  </si>
  <si>
    <t>10～15年以内</t>
    <rPh sb="5" eb="6">
      <t>ネン</t>
    </rPh>
    <rPh sb="6" eb="8">
      <t>イナイ</t>
    </rPh>
    <phoneticPr fontId="34"/>
  </si>
  <si>
    <t>西会津町</t>
    <rPh sb="0" eb="4">
      <t>ニシアイヅマチ</t>
    </rPh>
    <phoneticPr fontId="34"/>
  </si>
  <si>
    <t>-</t>
    <phoneticPr fontId="34"/>
  </si>
  <si>
    <t>猪苗代町</t>
    <rPh sb="0" eb="3">
      <t>イナワシロ</t>
    </rPh>
    <rPh sb="3" eb="4">
      <t>マチ</t>
    </rPh>
    <phoneticPr fontId="34"/>
  </si>
  <si>
    <t>磐梯町</t>
    <rPh sb="0" eb="2">
      <t>バンダイ</t>
    </rPh>
    <rPh sb="2" eb="3">
      <t>マチ</t>
    </rPh>
    <phoneticPr fontId="34"/>
  </si>
  <si>
    <t>地域要件</t>
    <rPh sb="0" eb="2">
      <t>チイキ</t>
    </rPh>
    <rPh sb="2" eb="4">
      <t>ヨウケン</t>
    </rPh>
    <phoneticPr fontId="34"/>
  </si>
  <si>
    <t>管内</t>
    <rPh sb="0" eb="2">
      <t>カンナイ</t>
    </rPh>
    <phoneticPr fontId="34"/>
  </si>
  <si>
    <t>隣接３管内</t>
    <rPh sb="0" eb="2">
      <t>リンセツ</t>
    </rPh>
    <rPh sb="3" eb="5">
      <t>カンナイ</t>
    </rPh>
    <phoneticPr fontId="34"/>
  </si>
  <si>
    <t>全国</t>
    <rPh sb="0" eb="2">
      <t>ゼンコク</t>
    </rPh>
    <phoneticPr fontId="34"/>
  </si>
  <si>
    <t>一般土木工事又は舗装工事"以外"</t>
  </si>
  <si>
    <t>一般土木工事又は舗装工事</t>
    <phoneticPr fontId="34"/>
  </si>
  <si>
    <t>発注種別</t>
    <rPh sb="0" eb="2">
      <t>ハッチュウ</t>
    </rPh>
    <rPh sb="2" eb="4">
      <t>シュベツ</t>
    </rPh>
    <phoneticPr fontId="34"/>
  </si>
  <si>
    <t>県北土木</t>
    <rPh sb="0" eb="2">
      <t>ケンポク</t>
    </rPh>
    <rPh sb="2" eb="4">
      <t>ドボク</t>
    </rPh>
    <phoneticPr fontId="34"/>
  </si>
  <si>
    <t>保原土木</t>
    <rPh sb="0" eb="2">
      <t>ホバラ</t>
    </rPh>
    <rPh sb="2" eb="4">
      <t>ドボク</t>
    </rPh>
    <phoneticPr fontId="34"/>
  </si>
  <si>
    <t>二本松土木</t>
    <rPh sb="0" eb="3">
      <t>ニホンマツ</t>
    </rPh>
    <rPh sb="3" eb="5">
      <t>ドボク</t>
    </rPh>
    <phoneticPr fontId="34"/>
  </si>
  <si>
    <t>県中建設</t>
    <rPh sb="0" eb="1">
      <t>ケン</t>
    </rPh>
    <rPh sb="1" eb="2">
      <t>チュウ</t>
    </rPh>
    <rPh sb="2" eb="4">
      <t>ケンセツ</t>
    </rPh>
    <phoneticPr fontId="34"/>
  </si>
  <si>
    <t>三春土木</t>
    <rPh sb="0" eb="2">
      <t>ミハル</t>
    </rPh>
    <rPh sb="2" eb="4">
      <t>ドボク</t>
    </rPh>
    <phoneticPr fontId="34"/>
  </si>
  <si>
    <t>須賀川土木</t>
    <rPh sb="0" eb="3">
      <t>スカガワ</t>
    </rPh>
    <rPh sb="3" eb="5">
      <t>ドボク</t>
    </rPh>
    <phoneticPr fontId="34"/>
  </si>
  <si>
    <t>石川土木</t>
    <rPh sb="0" eb="2">
      <t>イシカワ</t>
    </rPh>
    <rPh sb="2" eb="4">
      <t>ドボク</t>
    </rPh>
    <phoneticPr fontId="34"/>
  </si>
  <si>
    <t>県南土木</t>
    <rPh sb="0" eb="2">
      <t>ケンナン</t>
    </rPh>
    <rPh sb="2" eb="4">
      <t>ドボク</t>
    </rPh>
    <phoneticPr fontId="34"/>
  </si>
  <si>
    <t>県中土木</t>
    <rPh sb="0" eb="1">
      <t>ケン</t>
    </rPh>
    <rPh sb="1" eb="2">
      <t>チュウ</t>
    </rPh>
    <rPh sb="2" eb="4">
      <t>ドボク</t>
    </rPh>
    <phoneticPr fontId="34"/>
  </si>
  <si>
    <t>棚倉土木</t>
    <rPh sb="0" eb="2">
      <t>タナグラ</t>
    </rPh>
    <rPh sb="2" eb="4">
      <t>ドボク</t>
    </rPh>
    <phoneticPr fontId="34"/>
  </si>
  <si>
    <t>会津若松土木</t>
    <rPh sb="0" eb="2">
      <t>アイヅ</t>
    </rPh>
    <rPh sb="2" eb="4">
      <t>ワカマツ</t>
    </rPh>
    <rPh sb="4" eb="6">
      <t>ドボク</t>
    </rPh>
    <phoneticPr fontId="34"/>
  </si>
  <si>
    <t>宮下土木</t>
    <rPh sb="0" eb="2">
      <t>ミヤシタ</t>
    </rPh>
    <rPh sb="2" eb="4">
      <t>ドボク</t>
    </rPh>
    <phoneticPr fontId="34"/>
  </si>
  <si>
    <t>南会津土木</t>
    <rPh sb="0" eb="3">
      <t>ミナミアイヅ</t>
    </rPh>
    <rPh sb="3" eb="5">
      <t>ドボク</t>
    </rPh>
    <phoneticPr fontId="34"/>
  </si>
  <si>
    <t>山口土木</t>
    <rPh sb="0" eb="2">
      <t>ヤマグチ</t>
    </rPh>
    <rPh sb="2" eb="4">
      <t>ドボク</t>
    </rPh>
    <phoneticPr fontId="34"/>
  </si>
  <si>
    <t>相双土木</t>
    <rPh sb="0" eb="2">
      <t>ソウソウ</t>
    </rPh>
    <rPh sb="2" eb="4">
      <t>ドボク</t>
    </rPh>
    <phoneticPr fontId="34"/>
  </si>
  <si>
    <t>富岡土木</t>
    <rPh sb="0" eb="2">
      <t>トミオカ</t>
    </rPh>
    <rPh sb="2" eb="4">
      <t>ドボク</t>
    </rPh>
    <phoneticPr fontId="34"/>
  </si>
  <si>
    <t>県北建設</t>
    <rPh sb="0" eb="2">
      <t>ケンポク</t>
    </rPh>
    <rPh sb="2" eb="4">
      <t>ケンセツ</t>
    </rPh>
    <phoneticPr fontId="34"/>
  </si>
  <si>
    <t>県南建設</t>
    <rPh sb="0" eb="2">
      <t>ケンナン</t>
    </rPh>
    <rPh sb="2" eb="4">
      <t>ケンセツ</t>
    </rPh>
    <phoneticPr fontId="34"/>
  </si>
  <si>
    <t>会津若松建設</t>
    <rPh sb="0" eb="2">
      <t>アイヅ</t>
    </rPh>
    <rPh sb="2" eb="4">
      <t>ワカマツ</t>
    </rPh>
    <rPh sb="4" eb="6">
      <t>ケンセツ</t>
    </rPh>
    <phoneticPr fontId="34"/>
  </si>
  <si>
    <t>相双建設</t>
    <rPh sb="0" eb="2">
      <t>ソウソウ</t>
    </rPh>
    <rPh sb="2" eb="4">
      <t>ケンセツ</t>
    </rPh>
    <phoneticPr fontId="34"/>
  </si>
  <si>
    <t>いわき建設</t>
    <rPh sb="3" eb="5">
      <t>ケンセツ</t>
    </rPh>
    <phoneticPr fontId="34"/>
  </si>
  <si>
    <t>福島市</t>
    <rPh sb="0" eb="3">
      <t>フクシマシ</t>
    </rPh>
    <phoneticPr fontId="34"/>
  </si>
  <si>
    <t>川俣町</t>
    <rPh sb="0" eb="3">
      <t>カワマタマチ</t>
    </rPh>
    <phoneticPr fontId="34"/>
  </si>
  <si>
    <t>伊達市</t>
    <rPh sb="0" eb="3">
      <t>ダテシ</t>
    </rPh>
    <phoneticPr fontId="34"/>
  </si>
  <si>
    <t>桑折町</t>
    <rPh sb="0" eb="3">
      <t>コオリマチ</t>
    </rPh>
    <phoneticPr fontId="34"/>
  </si>
  <si>
    <t>国見町</t>
    <rPh sb="0" eb="3">
      <t>クニミマチ</t>
    </rPh>
    <phoneticPr fontId="34"/>
  </si>
  <si>
    <t>二本松市</t>
    <rPh sb="0" eb="4">
      <t>ニホンマツシ</t>
    </rPh>
    <phoneticPr fontId="34"/>
  </si>
  <si>
    <t>本宮市</t>
    <rPh sb="0" eb="3">
      <t>モトミヤシ</t>
    </rPh>
    <phoneticPr fontId="34"/>
  </si>
  <si>
    <t>大玉村</t>
    <rPh sb="0" eb="3">
      <t>オオタマムラ</t>
    </rPh>
    <phoneticPr fontId="34"/>
  </si>
  <si>
    <t>郡山市</t>
    <rPh sb="0" eb="3">
      <t>コオリヤマシ</t>
    </rPh>
    <phoneticPr fontId="34"/>
  </si>
  <si>
    <t>田村市</t>
    <rPh sb="0" eb="3">
      <t>タムラシ</t>
    </rPh>
    <phoneticPr fontId="34"/>
  </si>
  <si>
    <t>三春町</t>
    <rPh sb="0" eb="2">
      <t>ミハル</t>
    </rPh>
    <rPh sb="2" eb="3">
      <t>マチ</t>
    </rPh>
    <phoneticPr fontId="34"/>
  </si>
  <si>
    <t>小野町</t>
    <rPh sb="0" eb="3">
      <t>オノマチ</t>
    </rPh>
    <phoneticPr fontId="34"/>
  </si>
  <si>
    <t>須賀川市</t>
    <rPh sb="0" eb="4">
      <t>スカガワシ</t>
    </rPh>
    <phoneticPr fontId="34"/>
  </si>
  <si>
    <t>鏡石町</t>
    <rPh sb="0" eb="3">
      <t>カガミイシマチ</t>
    </rPh>
    <phoneticPr fontId="34"/>
  </si>
  <si>
    <t>天栄村</t>
    <rPh sb="0" eb="2">
      <t>テンエイ</t>
    </rPh>
    <rPh sb="2" eb="3">
      <t>ムラ</t>
    </rPh>
    <phoneticPr fontId="34"/>
  </si>
  <si>
    <t>石川町</t>
    <rPh sb="0" eb="3">
      <t>イシカワマチ</t>
    </rPh>
    <phoneticPr fontId="34"/>
  </si>
  <si>
    <t>玉川村</t>
    <rPh sb="0" eb="2">
      <t>タマガワ</t>
    </rPh>
    <rPh sb="2" eb="3">
      <t>ムラ</t>
    </rPh>
    <phoneticPr fontId="34"/>
  </si>
  <si>
    <t>平田村</t>
    <rPh sb="0" eb="3">
      <t>ヒラタムラ</t>
    </rPh>
    <phoneticPr fontId="34"/>
  </si>
  <si>
    <t>浅川町</t>
    <rPh sb="0" eb="3">
      <t>アサカワマチ</t>
    </rPh>
    <phoneticPr fontId="34"/>
  </si>
  <si>
    <t>古殿町</t>
    <rPh sb="0" eb="3">
      <t>フルドノマチ</t>
    </rPh>
    <phoneticPr fontId="34"/>
  </si>
  <si>
    <t>白河市</t>
    <rPh sb="0" eb="3">
      <t>シラカワシ</t>
    </rPh>
    <phoneticPr fontId="34"/>
  </si>
  <si>
    <t>西郷村</t>
    <rPh sb="0" eb="3">
      <t>ニシゴウムラ</t>
    </rPh>
    <phoneticPr fontId="34"/>
  </si>
  <si>
    <t>泉崎村</t>
    <rPh sb="0" eb="2">
      <t>イズミザキ</t>
    </rPh>
    <rPh sb="2" eb="3">
      <t>ムラ</t>
    </rPh>
    <phoneticPr fontId="34"/>
  </si>
  <si>
    <t>中島村</t>
    <rPh sb="0" eb="3">
      <t>ナカジマムラ</t>
    </rPh>
    <phoneticPr fontId="34"/>
  </si>
  <si>
    <t>矢吹町</t>
    <rPh sb="0" eb="3">
      <t>ヤブキマチ</t>
    </rPh>
    <phoneticPr fontId="34"/>
  </si>
  <si>
    <t>棚倉町</t>
    <rPh sb="0" eb="3">
      <t>タナグラマチ</t>
    </rPh>
    <phoneticPr fontId="34"/>
  </si>
  <si>
    <t>矢祭町</t>
    <rPh sb="0" eb="3">
      <t>ヤマツリマチ</t>
    </rPh>
    <phoneticPr fontId="34"/>
  </si>
  <si>
    <t>塙町</t>
    <rPh sb="0" eb="2">
      <t>ハナワマチ</t>
    </rPh>
    <phoneticPr fontId="34"/>
  </si>
  <si>
    <t>鮫川村</t>
    <rPh sb="0" eb="2">
      <t>サメガワ</t>
    </rPh>
    <rPh sb="2" eb="3">
      <t>ムラ</t>
    </rPh>
    <phoneticPr fontId="34"/>
  </si>
  <si>
    <t>会津若松市</t>
    <rPh sb="0" eb="2">
      <t>アイヅ</t>
    </rPh>
    <rPh sb="2" eb="4">
      <t>ワカマツ</t>
    </rPh>
    <rPh sb="4" eb="5">
      <t>シ</t>
    </rPh>
    <phoneticPr fontId="34"/>
  </si>
  <si>
    <t>会津坂下町</t>
    <rPh sb="0" eb="2">
      <t>アイヅ</t>
    </rPh>
    <rPh sb="2" eb="4">
      <t>サカシタ</t>
    </rPh>
    <rPh sb="4" eb="5">
      <t>マチ</t>
    </rPh>
    <phoneticPr fontId="34"/>
  </si>
  <si>
    <t>湯川村</t>
    <rPh sb="0" eb="2">
      <t>ユガワ</t>
    </rPh>
    <rPh sb="2" eb="3">
      <t>ムラ</t>
    </rPh>
    <phoneticPr fontId="34"/>
  </si>
  <si>
    <t>会津美里町</t>
    <rPh sb="0" eb="2">
      <t>アイヅ</t>
    </rPh>
    <rPh sb="2" eb="5">
      <t>ミサトマチ</t>
    </rPh>
    <phoneticPr fontId="34"/>
  </si>
  <si>
    <t>柳津町</t>
    <rPh sb="0" eb="3">
      <t>ヤナイヅマチ</t>
    </rPh>
    <phoneticPr fontId="34"/>
  </si>
  <si>
    <t>三島町</t>
    <rPh sb="0" eb="3">
      <t>ミシママチ</t>
    </rPh>
    <phoneticPr fontId="34"/>
  </si>
  <si>
    <t>金山町</t>
    <rPh sb="0" eb="3">
      <t>カネヤママチ</t>
    </rPh>
    <phoneticPr fontId="34"/>
  </si>
  <si>
    <t>昭和村</t>
    <rPh sb="0" eb="2">
      <t>ショウワ</t>
    </rPh>
    <rPh sb="2" eb="3">
      <t>ムラ</t>
    </rPh>
    <phoneticPr fontId="34"/>
  </si>
  <si>
    <t>下郷町</t>
    <rPh sb="0" eb="3">
      <t>シモゴウマチ</t>
    </rPh>
    <phoneticPr fontId="34"/>
  </si>
  <si>
    <t>檜枝岐村</t>
    <rPh sb="0" eb="3">
      <t>ヒノエマタ</t>
    </rPh>
    <rPh sb="3" eb="4">
      <t>ムラ</t>
    </rPh>
    <phoneticPr fontId="34"/>
  </si>
  <si>
    <t>南会津町（東部）</t>
    <rPh sb="0" eb="3">
      <t>ミナミアイヅ</t>
    </rPh>
    <rPh sb="3" eb="4">
      <t>マチ</t>
    </rPh>
    <rPh sb="5" eb="7">
      <t>トウブ</t>
    </rPh>
    <phoneticPr fontId="34"/>
  </si>
  <si>
    <t>南会津町（西部）</t>
    <rPh sb="0" eb="3">
      <t>ミナミアイヅ</t>
    </rPh>
    <rPh sb="3" eb="4">
      <t>マチ</t>
    </rPh>
    <rPh sb="5" eb="7">
      <t>セイブ</t>
    </rPh>
    <phoneticPr fontId="34"/>
  </si>
  <si>
    <t>北塩原村(喜多方建設管内)</t>
    <rPh sb="0" eb="1">
      <t>キタ</t>
    </rPh>
    <rPh sb="1" eb="3">
      <t>シオバラ</t>
    </rPh>
    <rPh sb="3" eb="4">
      <t>ムラ</t>
    </rPh>
    <rPh sb="5" eb="8">
      <t>キタカタ</t>
    </rPh>
    <rPh sb="8" eb="10">
      <t>ケンセツ</t>
    </rPh>
    <rPh sb="10" eb="12">
      <t>カンナイ</t>
    </rPh>
    <phoneticPr fontId="34"/>
  </si>
  <si>
    <t>北塩原村(猪苗代土木管内)</t>
    <rPh sb="0" eb="1">
      <t>キタ</t>
    </rPh>
    <rPh sb="1" eb="3">
      <t>シオバラ</t>
    </rPh>
    <rPh sb="3" eb="4">
      <t>ムラ</t>
    </rPh>
    <rPh sb="5" eb="8">
      <t>イナワシロ</t>
    </rPh>
    <rPh sb="8" eb="10">
      <t>ドボク</t>
    </rPh>
    <rPh sb="10" eb="12">
      <t>カンナイ</t>
    </rPh>
    <phoneticPr fontId="34"/>
  </si>
  <si>
    <t>只見町</t>
    <rPh sb="0" eb="3">
      <t>タダミマチ</t>
    </rPh>
    <phoneticPr fontId="34"/>
  </si>
  <si>
    <t>相馬市</t>
    <rPh sb="0" eb="3">
      <t>ソウマシ</t>
    </rPh>
    <phoneticPr fontId="34"/>
  </si>
  <si>
    <t>南相馬市</t>
    <rPh sb="0" eb="4">
      <t>ミナミソウマシ</t>
    </rPh>
    <phoneticPr fontId="34"/>
  </si>
  <si>
    <t>新地町</t>
    <rPh sb="0" eb="2">
      <t>シンチ</t>
    </rPh>
    <rPh sb="2" eb="3">
      <t>マチ</t>
    </rPh>
    <phoneticPr fontId="34"/>
  </si>
  <si>
    <t>飯舘村</t>
    <rPh sb="0" eb="3">
      <t>イイタテムラ</t>
    </rPh>
    <phoneticPr fontId="34"/>
  </si>
  <si>
    <t>広野町</t>
    <rPh sb="0" eb="3">
      <t>ヒロノマチ</t>
    </rPh>
    <phoneticPr fontId="34"/>
  </si>
  <si>
    <t>楢葉町</t>
    <rPh sb="0" eb="3">
      <t>ナラハマチ</t>
    </rPh>
    <phoneticPr fontId="34"/>
  </si>
  <si>
    <t>富岡町</t>
    <rPh sb="0" eb="3">
      <t>トミオカマチ</t>
    </rPh>
    <phoneticPr fontId="34"/>
  </si>
  <si>
    <t>川内村</t>
    <rPh sb="0" eb="3">
      <t>カワウチムラ</t>
    </rPh>
    <phoneticPr fontId="34"/>
  </si>
  <si>
    <t>大熊町</t>
    <rPh sb="0" eb="3">
      <t>オオクママチ</t>
    </rPh>
    <phoneticPr fontId="34"/>
  </si>
  <si>
    <t>双葉町</t>
    <rPh sb="0" eb="3">
      <t>フタバマチ</t>
    </rPh>
    <phoneticPr fontId="34"/>
  </si>
  <si>
    <t>浪江町</t>
    <rPh sb="0" eb="3">
      <t>ナミエマチ</t>
    </rPh>
    <phoneticPr fontId="34"/>
  </si>
  <si>
    <t>葛尾村</t>
    <rPh sb="0" eb="3">
      <t>カツラオムラ</t>
    </rPh>
    <phoneticPr fontId="34"/>
  </si>
  <si>
    <t>いわき市</t>
    <rPh sb="3" eb="4">
      <t>シ</t>
    </rPh>
    <phoneticPr fontId="34"/>
  </si>
  <si>
    <t>市町村</t>
    <rPh sb="0" eb="3">
      <t>シチョウソン</t>
    </rPh>
    <phoneticPr fontId="34"/>
  </si>
  <si>
    <t>建設事務所</t>
    <rPh sb="0" eb="2">
      <t>ケンセツ</t>
    </rPh>
    <rPh sb="2" eb="5">
      <t>ジムショ</t>
    </rPh>
    <phoneticPr fontId="34"/>
  </si>
  <si>
    <t>市町村①</t>
    <rPh sb="0" eb="3">
      <t>シチョウソン</t>
    </rPh>
    <phoneticPr fontId="34"/>
  </si>
  <si>
    <t>発注種別</t>
    <rPh sb="0" eb="2">
      <t>ハッチュウ</t>
    </rPh>
    <rPh sb="2" eb="4">
      <t>シュベツ</t>
    </rPh>
    <phoneticPr fontId="34"/>
  </si>
  <si>
    <t>一般土木工事</t>
    <rPh sb="0" eb="2">
      <t>イッパン</t>
    </rPh>
    <rPh sb="2" eb="4">
      <t>ドボク</t>
    </rPh>
    <rPh sb="4" eb="6">
      <t>コウジ</t>
    </rPh>
    <phoneticPr fontId="34"/>
  </si>
  <si>
    <t>舗装工事</t>
    <rPh sb="0" eb="2">
      <t>ホソウ</t>
    </rPh>
    <rPh sb="2" eb="4">
      <t>コウジ</t>
    </rPh>
    <phoneticPr fontId="34"/>
  </si>
  <si>
    <t>加算点合計</t>
    <rPh sb="0" eb="2">
      <t>カサン</t>
    </rPh>
    <rPh sb="2" eb="3">
      <t>テン</t>
    </rPh>
    <rPh sb="3" eb="5">
      <t>ゴウケイ</t>
    </rPh>
    <phoneticPr fontId="34"/>
  </si>
  <si>
    <t>点</t>
    <rPh sb="0" eb="1">
      <t>テン</t>
    </rPh>
    <phoneticPr fontId="34"/>
  </si>
  <si>
    <t>市町村②</t>
    <rPh sb="0" eb="3">
      <t>シチョウソン</t>
    </rPh>
    <phoneticPr fontId="34"/>
  </si>
  <si>
    <t>自動表示。（入力不要）</t>
    <rPh sb="0" eb="2">
      <t>ジドウ</t>
    </rPh>
    <rPh sb="2" eb="4">
      <t>ヒョウジ</t>
    </rPh>
    <rPh sb="6" eb="8">
      <t>ニュウリョク</t>
    </rPh>
    <rPh sb="8" eb="10">
      <t>フヨウ</t>
    </rPh>
    <phoneticPr fontId="34"/>
  </si>
  <si>
    <t>工事箇所の所在する土木事務所</t>
    <rPh sb="0" eb="2">
      <t>コウジ</t>
    </rPh>
    <rPh sb="2" eb="4">
      <t>カショ</t>
    </rPh>
    <rPh sb="5" eb="7">
      <t>ショザイ</t>
    </rPh>
    <rPh sb="9" eb="11">
      <t>ドボク</t>
    </rPh>
    <rPh sb="11" eb="13">
      <t>ジム</t>
    </rPh>
    <rPh sb="13" eb="14">
      <t>ショ</t>
    </rPh>
    <phoneticPr fontId="34"/>
  </si>
  <si>
    <t>工事箇所の所在する建設事務所</t>
    <rPh sb="0" eb="2">
      <t>コウジ</t>
    </rPh>
    <rPh sb="2" eb="4">
      <t>カショ</t>
    </rPh>
    <rPh sb="5" eb="7">
      <t>ショザイ</t>
    </rPh>
    <rPh sb="9" eb="11">
      <t>ケンセツ</t>
    </rPh>
    <rPh sb="11" eb="13">
      <t>ジム</t>
    </rPh>
    <rPh sb="13" eb="14">
      <t>ショ</t>
    </rPh>
    <phoneticPr fontId="34"/>
  </si>
  <si>
    <t>工事番号</t>
    <rPh sb="0" eb="2">
      <t>コウジ</t>
    </rPh>
    <rPh sb="2" eb="4">
      <t>バンゴウ</t>
    </rPh>
    <phoneticPr fontId="34"/>
  </si>
  <si>
    <t>工事名</t>
    <rPh sb="0" eb="3">
      <t>コウジメイ</t>
    </rPh>
    <phoneticPr fontId="34"/>
  </si>
  <si>
    <t>公告日</t>
    <rPh sb="0" eb="3">
      <t>コウコクビ</t>
    </rPh>
    <phoneticPr fontId="34"/>
  </si>
  <si>
    <t>備　考</t>
    <rPh sb="0" eb="1">
      <t>ソナエ</t>
    </rPh>
    <rPh sb="2" eb="3">
      <t>コウ</t>
    </rPh>
    <phoneticPr fontId="34"/>
  </si>
  <si>
    <t>企業の工事成績</t>
    <rPh sb="0" eb="2">
      <t>キギョウ</t>
    </rPh>
    <rPh sb="3" eb="5">
      <t>コウジ</t>
    </rPh>
    <rPh sb="5" eb="7">
      <t>セイセキ</t>
    </rPh>
    <phoneticPr fontId="34"/>
  </si>
  <si>
    <t>80点以上</t>
    <rPh sb="2" eb="3">
      <t>テン</t>
    </rPh>
    <rPh sb="3" eb="5">
      <t>イジョウ</t>
    </rPh>
    <phoneticPr fontId="34"/>
  </si>
  <si>
    <t>75点以上80点未満</t>
    <rPh sb="2" eb="3">
      <t>テン</t>
    </rPh>
    <rPh sb="3" eb="5">
      <t>イジョウ</t>
    </rPh>
    <rPh sb="7" eb="8">
      <t>テン</t>
    </rPh>
    <rPh sb="8" eb="10">
      <t>ミマン</t>
    </rPh>
    <phoneticPr fontId="34"/>
  </si>
  <si>
    <t>・（別記２）総合評価点評価基準の※３の発注種別を入力する。</t>
    <rPh sb="19" eb="21">
      <t>ハッチュウ</t>
    </rPh>
    <rPh sb="21" eb="23">
      <t>シュベツ</t>
    </rPh>
    <phoneticPr fontId="34"/>
  </si>
  <si>
    <t>1：記入あり</t>
    <rPh sb="2" eb="4">
      <t>キニュウ</t>
    </rPh>
    <phoneticPr fontId="34"/>
  </si>
  <si>
    <t>配置技術者の工事成績</t>
    <rPh sb="0" eb="2">
      <t>ハイチ</t>
    </rPh>
    <rPh sb="2" eb="5">
      <t>ギジュツシャ</t>
    </rPh>
    <rPh sb="6" eb="8">
      <t>コウジ</t>
    </rPh>
    <rPh sb="8" eb="10">
      <t>セイセキ</t>
    </rPh>
    <phoneticPr fontId="34"/>
  </si>
  <si>
    <t>発注者</t>
    <rPh sb="0" eb="3">
      <t>ハッチュウシャ</t>
    </rPh>
    <phoneticPr fontId="34"/>
  </si>
  <si>
    <t>工事番号・工事名：</t>
    <phoneticPr fontId="34"/>
  </si>
  <si>
    <t>会社名：</t>
    <phoneticPr fontId="34"/>
  </si>
  <si>
    <t>土木事務所
（19区分）</t>
    <rPh sb="0" eb="2">
      <t>ドボク</t>
    </rPh>
    <rPh sb="2" eb="5">
      <t>ジムショ</t>
    </rPh>
    <rPh sb="9" eb="11">
      <t>クブン</t>
    </rPh>
    <phoneticPr fontId="34"/>
  </si>
  <si>
    <t>No.</t>
    <phoneticPr fontId="34"/>
  </si>
  <si>
    <t>県外</t>
    <rPh sb="0" eb="2">
      <t>ケンガイ</t>
    </rPh>
    <phoneticPr fontId="34"/>
  </si>
  <si>
    <t>同一市町村</t>
    <rPh sb="0" eb="2">
      <t>ドウイツ</t>
    </rPh>
    <rPh sb="2" eb="5">
      <t>シチョウソン</t>
    </rPh>
    <phoneticPr fontId="34"/>
  </si>
  <si>
    <t>同一土木</t>
    <rPh sb="0" eb="2">
      <t>ドウイツ</t>
    </rPh>
    <rPh sb="2" eb="4">
      <t>ドボク</t>
    </rPh>
    <phoneticPr fontId="34"/>
  </si>
  <si>
    <t>同一建設</t>
    <rPh sb="0" eb="2">
      <t>ドウイツ</t>
    </rPh>
    <rPh sb="2" eb="4">
      <t>ケンセツ</t>
    </rPh>
    <phoneticPr fontId="34"/>
  </si>
  <si>
    <t>得点</t>
    <rPh sb="0" eb="2">
      <t>トクテン</t>
    </rPh>
    <phoneticPr fontId="34"/>
  </si>
  <si>
    <t>委任なし支店</t>
    <rPh sb="0" eb="2">
      <t>イニン</t>
    </rPh>
    <rPh sb="4" eb="6">
      <t>シテン</t>
    </rPh>
    <phoneticPr fontId="34"/>
  </si>
  <si>
    <t>点数あり：該当</t>
    <rPh sb="0" eb="2">
      <t>テンスウ</t>
    </rPh>
    <rPh sb="5" eb="7">
      <t>ガイトウ</t>
    </rPh>
    <phoneticPr fontId="34"/>
  </si>
  <si>
    <t>入札参加者</t>
    <rPh sb="0" eb="2">
      <t>ニュウサツ</t>
    </rPh>
    <rPh sb="2" eb="5">
      <t>サンカシャ</t>
    </rPh>
    <phoneticPr fontId="34"/>
  </si>
  <si>
    <t>県内</t>
    <rPh sb="0" eb="2">
      <t>ケンナイ</t>
    </rPh>
    <phoneticPr fontId="34"/>
  </si>
  <si>
    <t>市町村</t>
    <rPh sb="0" eb="3">
      <t>シチョウソン</t>
    </rPh>
    <phoneticPr fontId="34"/>
  </si>
  <si>
    <t>土木</t>
    <rPh sb="0" eb="2">
      <t>ドボク</t>
    </rPh>
    <phoneticPr fontId="34"/>
  </si>
  <si>
    <t>建設</t>
    <rPh sb="0" eb="2">
      <t>ケンセツ</t>
    </rPh>
    <phoneticPr fontId="34"/>
  </si>
  <si>
    <t>1:同一市町村内</t>
    <rPh sb="2" eb="4">
      <t>ドウイツ</t>
    </rPh>
    <rPh sb="4" eb="7">
      <t>シチョウソン</t>
    </rPh>
    <rPh sb="7" eb="8">
      <t>ナイ</t>
    </rPh>
    <phoneticPr fontId="34"/>
  </si>
  <si>
    <t>1:同一
土木管内</t>
    <rPh sb="2" eb="4">
      <t>ドウイツ</t>
    </rPh>
    <rPh sb="5" eb="7">
      <t>ドボク</t>
    </rPh>
    <rPh sb="7" eb="9">
      <t>カンナイ</t>
    </rPh>
    <phoneticPr fontId="34"/>
  </si>
  <si>
    <t>左記の
土木管内</t>
    <rPh sb="0" eb="2">
      <t>サキ</t>
    </rPh>
    <rPh sb="4" eb="6">
      <t>ドボク</t>
    </rPh>
    <rPh sb="6" eb="8">
      <t>カンナイ</t>
    </rPh>
    <phoneticPr fontId="34"/>
  </si>
  <si>
    <t>左記の
建設管内</t>
    <rPh sb="0" eb="2">
      <t>サキ</t>
    </rPh>
    <rPh sb="4" eb="6">
      <t>ケンセツ</t>
    </rPh>
    <rPh sb="6" eb="8">
      <t>カンナイ</t>
    </rPh>
    <phoneticPr fontId="34"/>
  </si>
  <si>
    <t>1:同一
建設管内</t>
    <rPh sb="2" eb="4">
      <t>ドウイツ</t>
    </rPh>
    <rPh sb="5" eb="7">
      <t>ケンセツ</t>
    </rPh>
    <rPh sb="7" eb="9">
      <t>カンナイ</t>
    </rPh>
    <phoneticPr fontId="34"/>
  </si>
  <si>
    <t>3:同一市町村
2:同一土木
1:同一建設</t>
    <rPh sb="2" eb="4">
      <t>ドウイツ</t>
    </rPh>
    <rPh sb="4" eb="7">
      <t>シチョウソン</t>
    </rPh>
    <rPh sb="10" eb="12">
      <t>ドウイツ</t>
    </rPh>
    <rPh sb="12" eb="14">
      <t>ドボク</t>
    </rPh>
    <rPh sb="17" eb="19">
      <t>ドウイツ</t>
    </rPh>
    <rPh sb="19" eb="21">
      <t>ケンセツ</t>
    </rPh>
    <phoneticPr fontId="34"/>
  </si>
  <si>
    <t>1：実績有</t>
    <rPh sb="2" eb="4">
      <t>ジッセキ</t>
    </rPh>
    <rPh sb="4" eb="5">
      <t>ア</t>
    </rPh>
    <phoneticPr fontId="34"/>
  </si>
  <si>
    <t>配点
（同一市町村）</t>
    <rPh sb="0" eb="2">
      <t>ハイテン</t>
    </rPh>
    <rPh sb="4" eb="6">
      <t>ドウイツ</t>
    </rPh>
    <rPh sb="6" eb="9">
      <t>シチョウソン</t>
    </rPh>
    <phoneticPr fontId="34"/>
  </si>
  <si>
    <t>配点
（同一土木）</t>
    <rPh sb="0" eb="2">
      <t>ハイテン</t>
    </rPh>
    <rPh sb="4" eb="6">
      <t>ドウイツ</t>
    </rPh>
    <rPh sb="6" eb="8">
      <t>ドボク</t>
    </rPh>
    <phoneticPr fontId="34"/>
  </si>
  <si>
    <t>配点</t>
    <rPh sb="0" eb="2">
      <t>ハイテン</t>
    </rPh>
    <phoneticPr fontId="34"/>
  </si>
  <si>
    <t>得点
（同一市町村）</t>
    <rPh sb="0" eb="2">
      <t>トクテン</t>
    </rPh>
    <rPh sb="4" eb="6">
      <t>ドウイツ</t>
    </rPh>
    <rPh sb="6" eb="9">
      <t>シチョウソン</t>
    </rPh>
    <phoneticPr fontId="34"/>
  </si>
  <si>
    <t>得点
（同一土木）</t>
    <rPh sb="0" eb="2">
      <t>トクテン</t>
    </rPh>
    <rPh sb="4" eb="6">
      <t>ドウイツ</t>
    </rPh>
    <rPh sb="6" eb="8">
      <t>ドボク</t>
    </rPh>
    <phoneticPr fontId="34"/>
  </si>
  <si>
    <t>最終得点</t>
    <rPh sb="0" eb="2">
      <t>サイシュウ</t>
    </rPh>
    <rPh sb="2" eb="4">
      <t>トクテン</t>
    </rPh>
    <phoneticPr fontId="34"/>
  </si>
  <si>
    <t>-</t>
  </si>
  <si>
    <t>配点
(満点)</t>
    <rPh sb="0" eb="2">
      <t>ハイテン</t>
    </rPh>
    <rPh sb="4" eb="6">
      <t>マンテン</t>
    </rPh>
    <phoneticPr fontId="18"/>
  </si>
  <si>
    <t>本店</t>
    <rPh sb="0" eb="2">
      <t>ホンテン</t>
    </rPh>
    <phoneticPr fontId="34"/>
  </si>
  <si>
    <t>配点</t>
    <rPh sb="0" eb="2">
      <t>ハイテン</t>
    </rPh>
    <phoneticPr fontId="34"/>
  </si>
  <si>
    <t>得点</t>
    <rPh sb="0" eb="2">
      <t>トクテン</t>
    </rPh>
    <phoneticPr fontId="34"/>
  </si>
  <si>
    <t>最終得点</t>
    <rPh sb="0" eb="2">
      <t>サイシュウ</t>
    </rPh>
    <rPh sb="2" eb="4">
      <t>トクテン</t>
    </rPh>
    <phoneticPr fontId="34"/>
  </si>
  <si>
    <t>建築工事</t>
    <rPh sb="0" eb="2">
      <t>ケンチク</t>
    </rPh>
    <rPh sb="2" eb="4">
      <t>コウジ</t>
    </rPh>
    <phoneticPr fontId="34"/>
  </si>
  <si>
    <t>電気設備工事</t>
    <rPh sb="0" eb="2">
      <t>デンキ</t>
    </rPh>
    <rPh sb="2" eb="4">
      <t>セツビ</t>
    </rPh>
    <rPh sb="4" eb="6">
      <t>コウジ</t>
    </rPh>
    <phoneticPr fontId="34"/>
  </si>
  <si>
    <t>暖冷房衛生設備工事</t>
    <rPh sb="0" eb="3">
      <t>ダンレイボウ</t>
    </rPh>
    <rPh sb="3" eb="5">
      <t>エイセイ</t>
    </rPh>
    <rPh sb="5" eb="7">
      <t>セツビ</t>
    </rPh>
    <rPh sb="7" eb="9">
      <t>コウジ</t>
    </rPh>
    <phoneticPr fontId="34"/>
  </si>
  <si>
    <t>鋼橋上部工事</t>
    <rPh sb="0" eb="2">
      <t>コウキョウ</t>
    </rPh>
    <rPh sb="2" eb="4">
      <t>ジョウブ</t>
    </rPh>
    <rPh sb="4" eb="6">
      <t>コウジ</t>
    </rPh>
    <phoneticPr fontId="34"/>
  </si>
  <si>
    <t>PC橋上部工事</t>
    <rPh sb="2" eb="3">
      <t>ハシ</t>
    </rPh>
    <rPh sb="3" eb="5">
      <t>ジョウブ</t>
    </rPh>
    <rPh sb="5" eb="7">
      <t>コウジ</t>
    </rPh>
    <phoneticPr fontId="34"/>
  </si>
  <si>
    <t>しゅんせつ工事</t>
    <rPh sb="5" eb="7">
      <t>コウジ</t>
    </rPh>
    <phoneticPr fontId="34"/>
  </si>
  <si>
    <t>塗装工事</t>
    <rPh sb="0" eb="2">
      <t>トソウ</t>
    </rPh>
    <rPh sb="2" eb="4">
      <t>コウジ</t>
    </rPh>
    <phoneticPr fontId="34"/>
  </si>
  <si>
    <t>法面処理工事</t>
    <rPh sb="0" eb="2">
      <t>ノリメン</t>
    </rPh>
    <rPh sb="2" eb="4">
      <t>ショリ</t>
    </rPh>
    <rPh sb="4" eb="6">
      <t>コウジ</t>
    </rPh>
    <phoneticPr fontId="34"/>
  </si>
  <si>
    <t>上下水道工事</t>
    <rPh sb="0" eb="4">
      <t>ジョウゲスイドウ</t>
    </rPh>
    <rPh sb="4" eb="6">
      <t>コウジ</t>
    </rPh>
    <phoneticPr fontId="34"/>
  </si>
  <si>
    <t>清掃施設工事</t>
    <rPh sb="0" eb="2">
      <t>セイソウ</t>
    </rPh>
    <rPh sb="2" eb="4">
      <t>シセツ</t>
    </rPh>
    <rPh sb="4" eb="6">
      <t>コウジ</t>
    </rPh>
    <phoneticPr fontId="34"/>
  </si>
  <si>
    <t>消雪工事</t>
    <rPh sb="0" eb="1">
      <t>ケ</t>
    </rPh>
    <rPh sb="1" eb="2">
      <t>ユキ</t>
    </rPh>
    <rPh sb="2" eb="4">
      <t>コウジ</t>
    </rPh>
    <phoneticPr fontId="34"/>
  </si>
  <si>
    <t>機械設備工事</t>
    <rPh sb="0" eb="2">
      <t>キカイ</t>
    </rPh>
    <rPh sb="2" eb="4">
      <t>セツビ</t>
    </rPh>
    <rPh sb="4" eb="6">
      <t>コウジ</t>
    </rPh>
    <phoneticPr fontId="34"/>
  </si>
  <si>
    <t>通信設備工事</t>
    <rPh sb="0" eb="2">
      <t>ツウシン</t>
    </rPh>
    <rPh sb="2" eb="4">
      <t>セツビ</t>
    </rPh>
    <rPh sb="4" eb="6">
      <t>コウジ</t>
    </rPh>
    <phoneticPr fontId="34"/>
  </si>
  <si>
    <t>造園工事</t>
    <rPh sb="0" eb="2">
      <t>ゾウエン</t>
    </rPh>
    <rPh sb="2" eb="4">
      <t>コウジ</t>
    </rPh>
    <phoneticPr fontId="34"/>
  </si>
  <si>
    <t>さく井工事</t>
    <rPh sb="2" eb="3">
      <t>イ</t>
    </rPh>
    <rPh sb="3" eb="5">
      <t>コウジ</t>
    </rPh>
    <phoneticPr fontId="34"/>
  </si>
  <si>
    <t>グラウト工事</t>
    <rPh sb="4" eb="6">
      <t>コウジ</t>
    </rPh>
    <phoneticPr fontId="34"/>
  </si>
  <si>
    <t>企業の地域社会に対する貢献度</t>
    <phoneticPr fontId="34"/>
  </si>
  <si>
    <t>・（別記２）総合評価点評価基準の※4の市町村を入力する。
・市町村が２箇所設定されている場合は、市町村②も選択。</t>
    <rPh sb="19" eb="22">
      <t>シチョウソン</t>
    </rPh>
    <rPh sb="23" eb="25">
      <t>ニュウリョク</t>
    </rPh>
    <rPh sb="30" eb="33">
      <t>シチョウソン</t>
    </rPh>
    <rPh sb="35" eb="37">
      <t>カショ</t>
    </rPh>
    <rPh sb="37" eb="39">
      <t>セッテイ</t>
    </rPh>
    <rPh sb="44" eb="46">
      <t>バアイ</t>
    </rPh>
    <rPh sb="48" eb="51">
      <t>シチョウソン</t>
    </rPh>
    <rPh sb="53" eb="55">
      <t>センタク</t>
    </rPh>
    <phoneticPr fontId="34"/>
  </si>
  <si>
    <t>地域要件【選択】</t>
    <rPh sb="0" eb="2">
      <t>チイキ</t>
    </rPh>
    <rPh sb="2" eb="4">
      <t>ヨウケン</t>
    </rPh>
    <rPh sb="5" eb="7">
      <t>センタク</t>
    </rPh>
    <phoneticPr fontId="34"/>
  </si>
  <si>
    <t>評価対象</t>
    <rPh sb="0" eb="2">
      <t>ヒョウカ</t>
    </rPh>
    <rPh sb="2" eb="4">
      <t>タイショウ</t>
    </rPh>
    <phoneticPr fontId="34"/>
  </si>
  <si>
    <t>○地域要件ごとの評価対象エリアの判定</t>
    <rPh sb="1" eb="3">
      <t>チイキ</t>
    </rPh>
    <rPh sb="3" eb="5">
      <t>ヨウケン</t>
    </rPh>
    <rPh sb="8" eb="10">
      <t>ヒョウカ</t>
    </rPh>
    <rPh sb="10" eb="12">
      <t>タイショウ</t>
    </rPh>
    <rPh sb="16" eb="18">
      <t>ハンテイ</t>
    </rPh>
    <phoneticPr fontId="34"/>
  </si>
  <si>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4"/>
  </si>
  <si>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4"/>
  </si>
  <si>
    <t>過去3年以内に1件以上あり</t>
    <rPh sb="0" eb="2">
      <t>カコ</t>
    </rPh>
    <rPh sb="3" eb="4">
      <t>ネン</t>
    </rPh>
    <rPh sb="4" eb="6">
      <t>イナイ</t>
    </rPh>
    <rPh sb="8" eb="9">
      <t>ケン</t>
    </rPh>
    <rPh sb="9" eb="11">
      <t>イジョウ</t>
    </rPh>
    <phoneticPr fontId="34"/>
  </si>
  <si>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4"/>
  </si>
  <si>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4"/>
  </si>
  <si>
    <t>-</t>
    <phoneticPr fontId="34"/>
  </si>
  <si>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4"/>
  </si>
  <si>
    <t>入札参加者の判定</t>
    <rPh sb="0" eb="2">
      <t>ニュウサツ</t>
    </rPh>
    <rPh sb="2" eb="5">
      <t>サンカシャ</t>
    </rPh>
    <rPh sb="6" eb="8">
      <t>ハンテイ</t>
    </rPh>
    <phoneticPr fontId="34"/>
  </si>
  <si>
    <t>累計</t>
    <rPh sb="0" eb="2">
      <t>ルイケイ</t>
    </rPh>
    <phoneticPr fontId="34"/>
  </si>
  <si>
    <t>4:全国で
県内業者</t>
    <rPh sb="2" eb="4">
      <t>ゼンコク</t>
    </rPh>
    <rPh sb="6" eb="8">
      <t>ケンナイ</t>
    </rPh>
    <rPh sb="8" eb="10">
      <t>ギョウシャ</t>
    </rPh>
    <phoneticPr fontId="34"/>
  </si>
  <si>
    <t>配点
（同一建設or県内）</t>
    <rPh sb="0" eb="2">
      <t>ハイテン</t>
    </rPh>
    <rPh sb="4" eb="6">
      <t>ドウイツ</t>
    </rPh>
    <rPh sb="6" eb="8">
      <t>ケンセツ</t>
    </rPh>
    <rPh sb="10" eb="12">
      <t>ケンナイ</t>
    </rPh>
    <phoneticPr fontId="34"/>
  </si>
  <si>
    <t>1：該当あり</t>
    <rPh sb="2" eb="4">
      <t>ガイトウ</t>
    </rPh>
    <phoneticPr fontId="34"/>
  </si>
  <si>
    <t>3件</t>
    <rPh sb="1" eb="2">
      <t>ケン</t>
    </rPh>
    <phoneticPr fontId="34"/>
  </si>
  <si>
    <t>2件</t>
    <rPh sb="1" eb="2">
      <t>ケン</t>
    </rPh>
    <phoneticPr fontId="34"/>
  </si>
  <si>
    <t>1件</t>
    <rPh sb="1" eb="2">
      <t>ケン</t>
    </rPh>
    <phoneticPr fontId="34"/>
  </si>
  <si>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4"/>
  </si>
  <si>
    <t>・所在建設事務所
　【自動表示】</t>
    <rPh sb="1" eb="3">
      <t>ショザイ</t>
    </rPh>
    <rPh sb="3" eb="5">
      <t>ケンセツ</t>
    </rPh>
    <rPh sb="5" eb="8">
      <t>ジムショ</t>
    </rPh>
    <rPh sb="11" eb="13">
      <t>ジドウ</t>
    </rPh>
    <rPh sb="13" eb="15">
      <t>ヒョウジ</t>
    </rPh>
    <phoneticPr fontId="34"/>
  </si>
  <si>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</si>
  <si>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4"/>
  </si>
  <si>
    <t>・判定結果【自動表示】</t>
    <rPh sb="1" eb="3">
      <t>ハンテイ</t>
    </rPh>
    <rPh sb="3" eb="5">
      <t>ケッカ</t>
    </rPh>
    <rPh sb="6" eb="8">
      <t>ジドウ</t>
    </rPh>
    <rPh sb="8" eb="10">
      <t>ヒョウジ</t>
    </rPh>
    <phoneticPr fontId="34"/>
  </si>
  <si>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4"/>
  </si>
  <si>
    <t>参加者</t>
    <rPh sb="0" eb="3">
      <t>サンカシャ</t>
    </rPh>
    <phoneticPr fontId="34"/>
  </si>
  <si>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4"/>
  </si>
  <si>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4"/>
  </si>
  <si>
    <t>【下位点】基準日における正規雇用従業員数が1年前と同じ場合</t>
    <rPh sb="1" eb="4">
      <t>カイテン</t>
    </rPh>
    <rPh sb="22" eb="23">
      <t>ネン</t>
    </rPh>
    <rPh sb="23" eb="24">
      <t>マエ</t>
    </rPh>
    <rPh sb="25" eb="26">
      <t>オナ</t>
    </rPh>
    <rPh sb="27" eb="29">
      <t>バアイ</t>
    </rPh>
    <phoneticPr fontId="34"/>
  </si>
  <si>
    <t>活動場所</t>
    <rPh sb="0" eb="2">
      <t>カツドウ</t>
    </rPh>
    <rPh sb="2" eb="4">
      <t>バショ</t>
    </rPh>
    <phoneticPr fontId="34"/>
  </si>
  <si>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</si>
  <si>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4"/>
  </si>
  <si>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4"/>
  </si>
  <si>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4"/>
  </si>
  <si>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</si>
  <si>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1：準本店</t>
    <rPh sb="2" eb="3">
      <t>ジュン</t>
    </rPh>
    <rPh sb="3" eb="5">
      <t>ホンテン</t>
    </rPh>
    <phoneticPr fontId="34"/>
  </si>
  <si>
    <t>本店or準本店or支店等の別</t>
    <rPh sb="0" eb="2">
      <t>ホンテン</t>
    </rPh>
    <rPh sb="4" eb="5">
      <t>ジュン</t>
    </rPh>
    <rPh sb="5" eb="7">
      <t>ホンテン</t>
    </rPh>
    <rPh sb="9" eb="11">
      <t>シテン</t>
    </rPh>
    <rPh sb="11" eb="12">
      <t>トウ</t>
    </rPh>
    <rPh sb="13" eb="14">
      <t>ベツ</t>
    </rPh>
    <phoneticPr fontId="34"/>
  </si>
  <si>
    <t>本店</t>
    <rPh sb="0" eb="2">
      <t>ホンテン</t>
    </rPh>
    <phoneticPr fontId="34"/>
  </si>
  <si>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</si>
  <si>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4"/>
  </si>
  <si>
    <t>入札参加者</t>
    <rPh sb="0" eb="2">
      <t>ニュウサツ</t>
    </rPh>
    <rPh sb="2" eb="4">
      <t>サンカ</t>
    </rPh>
    <rPh sb="4" eb="5">
      <t>シャ</t>
    </rPh>
    <phoneticPr fontId="34"/>
  </si>
  <si>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4"/>
  </si>
  <si>
    <t>雇用の維持
・確保</t>
    <phoneticPr fontId="18"/>
  </si>
  <si>
    <t>左記実績の有無を選択↓</t>
    <rPh sb="0" eb="2">
      <t>サキ</t>
    </rPh>
    <rPh sb="2" eb="4">
      <t>ジッセキ</t>
    </rPh>
    <rPh sb="5" eb="7">
      <t>ウム</t>
    </rPh>
    <rPh sb="8" eb="10">
      <t>センタク</t>
    </rPh>
    <phoneticPr fontId="34"/>
  </si>
  <si>
    <t>左記実績の活動場所(市町村)を選択↓</t>
    <rPh sb="0" eb="2">
      <t>サキ</t>
    </rPh>
    <rPh sb="2" eb="4">
      <t>ジッセキ</t>
    </rPh>
    <rPh sb="5" eb="7">
      <t>カツドウ</t>
    </rPh>
    <rPh sb="7" eb="9">
      <t>バショ</t>
    </rPh>
    <rPh sb="10" eb="13">
      <t>シチョウソン</t>
    </rPh>
    <rPh sb="15" eb="17">
      <t>センタク</t>
    </rPh>
    <phoneticPr fontId="34"/>
  </si>
  <si>
    <t>選択項目（４項目中２項目まで評価）</t>
    <rPh sb="0" eb="2">
      <t>センタク</t>
    </rPh>
    <rPh sb="2" eb="4">
      <t>コウモク</t>
    </rPh>
    <rPh sb="6" eb="8">
      <t>コウモク</t>
    </rPh>
    <rPh sb="8" eb="9">
      <t>チュウ</t>
    </rPh>
    <rPh sb="10" eb="12">
      <t>コウモク</t>
    </rPh>
    <rPh sb="14" eb="16">
      <t>ヒョウカ</t>
    </rPh>
    <phoneticPr fontId="34"/>
  </si>
  <si>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4"/>
  </si>
  <si>
    <t>自動表示。（入力不要）※</t>
    <rPh sb="0" eb="2">
      <t>ジドウ</t>
    </rPh>
    <rPh sb="2" eb="4">
      <t>ヒョウジ</t>
    </rPh>
    <rPh sb="6" eb="8">
      <t>ニュウリョク</t>
    </rPh>
    <rPh sb="8" eb="10">
      <t>フヨウ</t>
    </rPh>
    <phoneticPr fontId="34"/>
  </si>
  <si>
    <t>同一発注種別【選択】</t>
    <rPh sb="0" eb="2">
      <t>ドウイツ</t>
    </rPh>
    <rPh sb="2" eb="4">
      <t>ハッチュウ</t>
    </rPh>
    <rPh sb="4" eb="6">
      <t>シュベツ</t>
    </rPh>
    <rPh sb="7" eb="9">
      <t>センタク</t>
    </rPh>
    <phoneticPr fontId="34"/>
  </si>
  <si>
    <t>4：OK</t>
    <phoneticPr fontId="34"/>
  </si>
  <si>
    <t>□　簡易型</t>
    <phoneticPr fontId="34"/>
  </si>
  <si>
    <t>□　標準型</t>
    <phoneticPr fontId="34"/>
  </si>
  <si>
    <t>～</t>
    <phoneticPr fontId="34"/>
  </si>
  <si>
    <t>第</t>
    <rPh sb="0" eb="1">
      <t>ダイ</t>
    </rPh>
    <phoneticPr fontId="34"/>
  </si>
  <si>
    <t>－</t>
    <phoneticPr fontId="34"/>
  </si>
  <si>
    <t>号</t>
    <rPh sb="0" eb="1">
      <t>ゴウ</t>
    </rPh>
    <phoneticPr fontId="34"/>
  </si>
  <si>
    <t>～</t>
    <phoneticPr fontId="34"/>
  </si>
  <si>
    <t>～</t>
    <phoneticPr fontId="34"/>
  </si>
  <si>
    <t>～</t>
    <phoneticPr fontId="34"/>
  </si>
  <si>
    <t>工事概要</t>
    <phoneticPr fontId="34"/>
  </si>
  <si>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4"/>
  </si>
  <si>
    <r>
      <t>工事番号　</t>
    </r>
    <r>
      <rPr>
        <sz val="10"/>
        <color rgb="FF000000"/>
        <rFont val="ＭＳ 明朝"/>
        <family val="1"/>
        <charset val="128"/>
      </rPr>
      <t>（半角数字）</t>
    </r>
    <rPh sb="6" eb="8">
      <t>ハンカク</t>
    </rPh>
    <rPh sb="8" eb="10">
      <t>スウジ</t>
    </rPh>
    <phoneticPr fontId="34"/>
  </si>
  <si>
    <t>若手・女性技術者の配置</t>
    <rPh sb="0" eb="2">
      <t>ワカテ</t>
    </rPh>
    <rPh sb="3" eb="5">
      <t>ジョセイ</t>
    </rPh>
    <rPh sb="5" eb="8">
      <t>ギジュツシャ</t>
    </rPh>
    <rPh sb="9" eb="11">
      <t>ハイチ</t>
    </rPh>
    <phoneticPr fontId="34"/>
  </si>
  <si>
    <t>・所在する市町村</t>
    <rPh sb="1" eb="3">
      <t>ショザイ</t>
    </rPh>
    <rPh sb="5" eb="8">
      <t>シチョウソン</t>
    </rPh>
    <phoneticPr fontId="34"/>
  </si>
  <si>
    <t>・本店・準本店・支店等の別</t>
    <rPh sb="1" eb="3">
      <t>ホンテン</t>
    </rPh>
    <rPh sb="4" eb="5">
      <t>ジュン</t>
    </rPh>
    <rPh sb="5" eb="7">
      <t>ホンテン</t>
    </rPh>
    <rPh sb="8" eb="10">
      <t>シテン</t>
    </rPh>
    <rPh sb="10" eb="11">
      <t>トウ</t>
    </rPh>
    <rPh sb="12" eb="13">
      <t>ベツ</t>
    </rPh>
    <phoneticPr fontId="34"/>
  </si>
  <si>
    <r>
      <t>・所在する市町村
　</t>
    </r>
    <r>
      <rPr>
        <sz val="9"/>
        <rFont val="ＭＳ 明朝"/>
        <family val="1"/>
        <charset val="128"/>
      </rPr>
      <t>※該当なしの場合”－”</t>
    </r>
    <rPh sb="1" eb="3">
      <t>ショザイ</t>
    </rPh>
    <rPh sb="5" eb="8">
      <t>シチョウソン</t>
    </rPh>
    <rPh sb="11" eb="13">
      <t>ガイトウ</t>
    </rPh>
    <rPh sb="16" eb="18">
      <t>バアイ</t>
    </rPh>
    <phoneticPr fontId="34"/>
  </si>
  <si>
    <t>・準本店・支店等の別</t>
    <rPh sb="1" eb="2">
      <t>ジュン</t>
    </rPh>
    <rPh sb="2" eb="4">
      <t>ホンテン</t>
    </rPh>
    <rPh sb="5" eb="7">
      <t>シテン</t>
    </rPh>
    <rPh sb="7" eb="8">
      <t>トウ</t>
    </rPh>
    <rPh sb="9" eb="10">
      <t>ベツ</t>
    </rPh>
    <phoneticPr fontId="34"/>
  </si>
  <si>
    <t>●判定結果</t>
    <rPh sb="1" eb="3">
      <t>ハンテイ</t>
    </rPh>
    <rPh sb="3" eb="5">
      <t>ケッカ</t>
    </rPh>
    <phoneticPr fontId="34"/>
  </si>
  <si>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</si>
  <si>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</si>
  <si>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</si>
  <si>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</si>
  <si>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4"/>
  </si>
  <si>
    <t>建設キャリアアップシステム</t>
    <rPh sb="0" eb="2">
      <t>ケンセツ</t>
    </rPh>
    <phoneticPr fontId="34"/>
  </si>
  <si>
    <t>入札参加者の所在地</t>
    <phoneticPr fontId="18"/>
  </si>
  <si>
    <t>2：OK</t>
    <phoneticPr fontId="34"/>
  </si>
  <si>
    <t>配点</t>
    <rPh sb="0" eb="2">
      <t>ハイテン</t>
    </rPh>
    <phoneticPr fontId="34"/>
  </si>
  <si>
    <t>（地域密着型）</t>
    <rPh sb="1" eb="3">
      <t>チイキ</t>
    </rPh>
    <rPh sb="3" eb="5">
      <t>ミッチャク</t>
    </rPh>
    <rPh sb="5" eb="6">
      <t>ガタ</t>
    </rPh>
    <phoneticPr fontId="34"/>
  </si>
  <si>
    <t>■　地域密着型</t>
    <phoneticPr fontId="34"/>
  </si>
  <si>
    <t>（地域密着型）</t>
    <rPh sb="1" eb="3">
      <t>チイキ</t>
    </rPh>
    <rPh sb="3" eb="5">
      <t>ミッチャク</t>
    </rPh>
    <rPh sb="5" eb="6">
      <t>カタ</t>
    </rPh>
    <rPh sb="6" eb="7">
      <t>トクガタ</t>
    </rPh>
    <phoneticPr fontId="34"/>
  </si>
  <si>
    <r>
      <t>様式第１１号－２</t>
    </r>
    <r>
      <rPr>
        <sz val="9"/>
        <rFont val="ＭＳ 明朝"/>
        <family val="1"/>
        <charset val="128"/>
      </rPr>
      <t>（第７条関係）　</t>
    </r>
    <r>
      <rPr>
        <sz val="12"/>
        <rFont val="ＭＳ ゴシック"/>
        <family val="3"/>
        <charset val="128"/>
      </rPr>
      <t>１/２頁</t>
    </r>
    <phoneticPr fontId="18"/>
  </si>
  <si>
    <r>
      <t>様式第１１号－２</t>
    </r>
    <r>
      <rPr>
        <sz val="9"/>
        <rFont val="ＭＳ 明朝"/>
        <family val="1"/>
        <charset val="128"/>
      </rPr>
      <t>（第７条関係）　</t>
    </r>
    <r>
      <rPr>
        <sz val="12"/>
        <rFont val="ＭＳ ゴシック"/>
        <family val="3"/>
        <charset val="128"/>
      </rPr>
      <t>２/２頁</t>
    </r>
    <phoneticPr fontId="18"/>
  </si>
  <si>
    <t>3：OK</t>
    <phoneticPr fontId="34"/>
  </si>
  <si>
    <t>4：OK</t>
    <phoneticPr fontId="34"/>
  </si>
  <si>
    <t>（同種･類似工事と判断可能な工種、数量等）</t>
    <phoneticPr fontId="34"/>
  </si>
  <si>
    <t>工事概要</t>
    <phoneticPr fontId="34"/>
  </si>
  <si>
    <r>
      <t>工事番号　</t>
    </r>
    <r>
      <rPr>
        <sz val="10"/>
        <rFont val="ＭＳ 明朝"/>
        <family val="1"/>
        <charset val="128"/>
      </rPr>
      <t>（半角数字）</t>
    </r>
    <rPh sb="6" eb="8">
      <t>ハンカク</t>
    </rPh>
    <rPh sb="8" eb="10">
      <t>スウジ</t>
    </rPh>
    <phoneticPr fontId="34"/>
  </si>
  <si>
    <t>地域要件
管内</t>
    <rPh sb="0" eb="2">
      <t>チイキ</t>
    </rPh>
    <rPh sb="2" eb="4">
      <t>ヨウケン</t>
    </rPh>
    <rPh sb="5" eb="7">
      <t>カンナイ</t>
    </rPh>
    <phoneticPr fontId="34"/>
  </si>
  <si>
    <t>地域要件
隣接３or県内</t>
    <rPh sb="0" eb="2">
      <t>チイキ</t>
    </rPh>
    <rPh sb="2" eb="4">
      <t>ヨウケン</t>
    </rPh>
    <rPh sb="5" eb="7">
      <t>リンセツ</t>
    </rPh>
    <rPh sb="10" eb="11">
      <t>ケン</t>
    </rPh>
    <phoneticPr fontId="34"/>
  </si>
  <si>
    <t>地域要件
全国</t>
    <rPh sb="0" eb="2">
      <t>チイキ</t>
    </rPh>
    <rPh sb="2" eb="4">
      <t>ヨウケン</t>
    </rPh>
    <rPh sb="5" eb="7">
      <t>ゼンコク</t>
    </rPh>
    <phoneticPr fontId="34"/>
  </si>
  <si>
    <t>地域要件
隣接３or県内</t>
    <rPh sb="0" eb="2">
      <t>チイキ</t>
    </rPh>
    <rPh sb="2" eb="4">
      <t>ヨウケン</t>
    </rPh>
    <rPh sb="5" eb="7">
      <t>リンセツ</t>
    </rPh>
    <rPh sb="10" eb="12">
      <t>ケンナイ</t>
    </rPh>
    <phoneticPr fontId="34"/>
  </si>
  <si>
    <t>1：入札参加者が同一土木（同一市町村）</t>
    <rPh sb="8" eb="10">
      <t>ドウイツ</t>
    </rPh>
    <rPh sb="13" eb="15">
      <t>ドウイツ</t>
    </rPh>
    <rPh sb="15" eb="18">
      <t>シチョウソン</t>
    </rPh>
    <phoneticPr fontId="34"/>
  </si>
  <si>
    <t>1：委任なし支店等が準本店かつ同一土木(同一市町村)</t>
    <rPh sb="10" eb="11">
      <t>ジュン</t>
    </rPh>
    <rPh sb="11" eb="13">
      <t>ホンテン</t>
    </rPh>
    <rPh sb="15" eb="17">
      <t>ドウイツ</t>
    </rPh>
    <rPh sb="17" eb="19">
      <t>ドボク</t>
    </rPh>
    <rPh sb="20" eb="22">
      <t>ドウイツ</t>
    </rPh>
    <rPh sb="22" eb="25">
      <t>シチョウソン</t>
    </rPh>
    <phoneticPr fontId="34"/>
  </si>
  <si>
    <t>1：「ボランティア」「選択項目」評価対象</t>
    <rPh sb="11" eb="13">
      <t>センタク</t>
    </rPh>
    <rPh sb="13" eb="15">
      <t>コウモク</t>
    </rPh>
    <rPh sb="16" eb="18">
      <t>ヒョウカ</t>
    </rPh>
    <rPh sb="18" eb="20">
      <t>タイショウ</t>
    </rPh>
    <phoneticPr fontId="34"/>
  </si>
  <si>
    <t>←1：同一土木の本店(準本店)</t>
    <rPh sb="3" eb="5">
      <t>ドウイツ</t>
    </rPh>
    <rPh sb="5" eb="7">
      <t>ドボク</t>
    </rPh>
    <rPh sb="8" eb="10">
      <t>ホンテン</t>
    </rPh>
    <rPh sb="11" eb="12">
      <t>ジュン</t>
    </rPh>
    <rPh sb="12" eb="14">
      <t>ホンテン</t>
    </rPh>
    <phoneticPr fontId="34"/>
  </si>
  <si>
    <t>県内
県外</t>
    <rPh sb="3" eb="5">
      <t>ケンガイ</t>
    </rPh>
    <phoneticPr fontId="34"/>
  </si>
  <si>
    <t>県内
県外</t>
    <rPh sb="0" eb="2">
      <t>ケンナイ</t>
    </rPh>
    <rPh sb="3" eb="5">
      <t>ケンガイ</t>
    </rPh>
    <phoneticPr fontId="34"/>
  </si>
  <si>
    <t>-</t>
    <phoneticPr fontId="34"/>
  </si>
  <si>
    <t>住所</t>
    <rPh sb="0" eb="2">
      <t>ジュウショ</t>
    </rPh>
    <phoneticPr fontId="34"/>
  </si>
  <si>
    <t>商号又は名称</t>
    <rPh sb="0" eb="2">
      <t>ショウゴウ</t>
    </rPh>
    <rPh sb="2" eb="3">
      <t>マタ</t>
    </rPh>
    <rPh sb="4" eb="6">
      <t>メイショウ</t>
    </rPh>
    <phoneticPr fontId="34"/>
  </si>
  <si>
    <t>工事箇所の所在する市町村　【選択】</t>
    <rPh sb="0" eb="2">
      <t>コウジ</t>
    </rPh>
    <rPh sb="2" eb="4">
      <t>カショ</t>
    </rPh>
    <rPh sb="5" eb="7">
      <t>ショザイ</t>
    </rPh>
    <rPh sb="9" eb="12">
      <t>シチョウソン</t>
    </rPh>
    <rPh sb="14" eb="16">
      <t>センタク</t>
    </rPh>
    <phoneticPr fontId="34"/>
  </si>
  <si>
    <t>＜基本データ＞　※黄色セルに入力。</t>
    <rPh sb="9" eb="11">
      <t>キイロ</t>
    </rPh>
    <rPh sb="14" eb="16">
      <t>ニュウリョク</t>
    </rPh>
    <phoneticPr fontId="18"/>
  </si>
  <si>
    <t>項目①</t>
    <rPh sb="0" eb="2">
      <t>コウモク</t>
    </rPh>
    <phoneticPr fontId="34"/>
  </si>
  <si>
    <t>備考</t>
    <rPh sb="0" eb="2">
      <t>ビコウ</t>
    </rPh>
    <phoneticPr fontId="34"/>
  </si>
  <si>
    <t>作成日（技術提案書提出日）</t>
    <rPh sb="0" eb="3">
      <t>サクセイビ</t>
    </rPh>
    <rPh sb="4" eb="6">
      <t>ギジュツ</t>
    </rPh>
    <rPh sb="6" eb="9">
      <t>テイアンショ</t>
    </rPh>
    <rPh sb="9" eb="11">
      <t>テイシュツ</t>
    </rPh>
    <rPh sb="11" eb="12">
      <t>ビ</t>
    </rPh>
    <phoneticPr fontId="34"/>
  </si>
  <si>
    <t>代表者氏名</t>
    <rPh sb="0" eb="3">
      <t>ダイヒョウシャ</t>
    </rPh>
    <rPh sb="3" eb="5">
      <t>シメイ</t>
    </rPh>
    <phoneticPr fontId="34"/>
  </si>
  <si>
    <t>電話番号</t>
    <rPh sb="0" eb="2">
      <t>デンワ</t>
    </rPh>
    <rPh sb="2" eb="4">
      <t>バンゴウ</t>
    </rPh>
    <phoneticPr fontId="34"/>
  </si>
  <si>
    <t>作成担当者氏名</t>
    <rPh sb="0" eb="2">
      <t>サクセイ</t>
    </rPh>
    <rPh sb="2" eb="5">
      <t>タントウシャ</t>
    </rPh>
    <rPh sb="5" eb="7">
      <t>シメイ</t>
    </rPh>
    <phoneticPr fontId="34"/>
  </si>
  <si>
    <t>項目②</t>
    <rPh sb="0" eb="2">
      <t>コウモク</t>
    </rPh>
    <phoneticPr fontId="34"/>
  </si>
  <si>
    <t>自動計算。
（「品質確保等の確実性」(7点)を含まない。）</t>
    <rPh sb="2" eb="4">
      <t>ケイサン</t>
    </rPh>
    <rPh sb="20" eb="21">
      <t>テン</t>
    </rPh>
    <phoneticPr fontId="34"/>
  </si>
  <si>
    <r>
      <t xml:space="preserve">配置期間
</t>
    </r>
    <r>
      <rPr>
        <sz val="10"/>
        <color rgb="FF000000"/>
        <rFont val="ＭＳ 明朝"/>
        <family val="1"/>
        <charset val="128"/>
      </rPr>
      <t>(入力例:R3.5.1～R4.3.31)</t>
    </r>
    <rPh sb="0" eb="2">
      <t>ハイチ</t>
    </rPh>
    <rPh sb="2" eb="4">
      <t>キカン</t>
    </rPh>
    <phoneticPr fontId="34"/>
  </si>
  <si>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4"/>
  </si>
  <si>
    <t>建築、電気設備、暖冷房衛生設備</t>
    <rPh sb="0" eb="2">
      <t>ケンチク</t>
    </rPh>
    <rPh sb="3" eb="5">
      <t>デンキ</t>
    </rPh>
    <rPh sb="5" eb="7">
      <t>セツビ</t>
    </rPh>
    <rPh sb="8" eb="11">
      <t>ダンレイボウ</t>
    </rPh>
    <rPh sb="11" eb="13">
      <t>エイセイ</t>
    </rPh>
    <rPh sb="13" eb="15">
      <t>セツビ</t>
    </rPh>
    <phoneticPr fontId="34"/>
  </si>
  <si>
    <t>85点以上</t>
    <rPh sb="2" eb="3">
      <t>テン</t>
    </rPh>
    <rPh sb="3" eb="5">
      <t>イジョウ</t>
    </rPh>
    <phoneticPr fontId="34"/>
  </si>
  <si>
    <t>80点以上85点未満</t>
    <rPh sb="2" eb="3">
      <t>テン</t>
    </rPh>
    <rPh sb="3" eb="5">
      <t>イジョウ</t>
    </rPh>
    <rPh sb="7" eb="8">
      <t>テン</t>
    </rPh>
    <rPh sb="8" eb="10">
      <t>ミマン</t>
    </rPh>
    <phoneticPr fontId="34"/>
  </si>
  <si>
    <t>-</t>
    <phoneticPr fontId="34"/>
  </si>
  <si>
    <t>2：本店</t>
    <rPh sb="2" eb="4">
      <t>ホンテン</t>
    </rPh>
    <phoneticPr fontId="34"/>
  </si>
  <si>
    <t xml:space="preserve">第○○-○○○○○-○○○○号 </t>
    <rPh sb="0" eb="1">
      <t>ダイ</t>
    </rPh>
    <rPh sb="14" eb="15">
      <t>ゴウ</t>
    </rPh>
    <phoneticPr fontId="34"/>
  </si>
  <si>
    <t>○○○○○○○○○○○○工事</t>
    <rPh sb="12" eb="14">
      <t>コウジ</t>
    </rPh>
    <phoneticPr fontId="34"/>
  </si>
  <si>
    <t>令和○年○月○日</t>
    <rPh sb="0" eb="2">
      <t>レイワ</t>
    </rPh>
    <rPh sb="3" eb="4">
      <t>ネン</t>
    </rPh>
    <rPh sb="5" eb="6">
      <t>ツキ</t>
    </rPh>
    <rPh sb="7" eb="8">
      <t>ニチ</t>
    </rPh>
    <phoneticPr fontId="34"/>
  </si>
  <si>
    <t>○○市○○町○○番地</t>
    <rPh sb="2" eb="3">
      <t>シ</t>
    </rPh>
    <rPh sb="5" eb="6">
      <t>マチ</t>
    </rPh>
    <rPh sb="8" eb="9">
      <t>バン</t>
    </rPh>
    <rPh sb="9" eb="10">
      <t>チ</t>
    </rPh>
    <phoneticPr fontId="34"/>
  </si>
  <si>
    <t>株式会社○○○○</t>
    <rPh sb="0" eb="2">
      <t>カブシキ</t>
    </rPh>
    <rPh sb="2" eb="4">
      <t>カイシャ</t>
    </rPh>
    <phoneticPr fontId="34"/>
  </si>
  <si>
    <t>代表取締役　○○○○</t>
    <rPh sb="0" eb="2">
      <t>ダイヒョウ</t>
    </rPh>
    <rPh sb="2" eb="5">
      <t>トリシマリヤク</t>
    </rPh>
    <phoneticPr fontId="34"/>
  </si>
  <si>
    <t>000-000-0000</t>
    <phoneticPr fontId="34"/>
  </si>
  <si>
    <t>○○○○</t>
    <phoneticPr fontId="34"/>
  </si>
  <si>
    <t>提出は、様式第１号及び様式第１１号－２をPDF形式で提出又はexcel様式をそのまま提出。</t>
    <phoneticPr fontId="34"/>
  </si>
  <si>
    <t>項目①：入札参加者の情報を入力</t>
    <rPh sb="0" eb="2">
      <t>コウモク</t>
    </rPh>
    <rPh sb="4" eb="6">
      <t>ニュウサツ</t>
    </rPh>
    <rPh sb="6" eb="9">
      <t>サンカシャ</t>
    </rPh>
    <rPh sb="10" eb="12">
      <t>ジョウホウ</t>
    </rPh>
    <rPh sb="13" eb="15">
      <t>ニュウリョク</t>
    </rPh>
    <phoneticPr fontId="34"/>
  </si>
  <si>
    <t>項目②：入札公告の内容を入力</t>
    <rPh sb="0" eb="2">
      <t>コウモク</t>
    </rPh>
    <rPh sb="4" eb="6">
      <t>ニュウサツ</t>
    </rPh>
    <rPh sb="6" eb="8">
      <t>コウコク</t>
    </rPh>
    <rPh sb="9" eb="11">
      <t>ナイヨウ</t>
    </rPh>
    <rPh sb="12" eb="14">
      <t>ニュウリョク</t>
    </rPh>
    <phoneticPr fontId="34"/>
  </si>
  <si>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4"/>
  </si>
  <si>
    <t>記入又は選択（入札公告の内容を入力）</t>
    <rPh sb="0" eb="2">
      <t>キニュウ</t>
    </rPh>
    <rPh sb="2" eb="3">
      <t>マタ</t>
    </rPh>
    <rPh sb="4" eb="6">
      <t>センタク</t>
    </rPh>
    <rPh sb="7" eb="9">
      <t>ニュウサツ</t>
    </rPh>
    <rPh sb="9" eb="11">
      <t>コウコク</t>
    </rPh>
    <rPh sb="12" eb="14">
      <t>ナイヨウ</t>
    </rPh>
    <rPh sb="15" eb="17">
      <t>ニュウリョク</t>
    </rPh>
    <phoneticPr fontId="34"/>
  </si>
  <si>
    <r>
      <t>記　載　事　項</t>
    </r>
    <r>
      <rPr>
        <sz val="9"/>
        <color rgb="FF000000"/>
        <rFont val="ＭＳ 明朝"/>
        <family val="1"/>
        <charset val="128"/>
      </rPr>
      <t>【記載の仕方　総合評価方式様式関係記載留意事項　§３、４、５】</t>
    </r>
    <phoneticPr fontId="34"/>
  </si>
  <si>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4"/>
  </si>
  <si>
    <t>発注種別
[選択]</t>
    <rPh sb="0" eb="2">
      <t>ハッチュウ</t>
    </rPh>
    <rPh sb="2" eb="4">
      <t>シュベツ</t>
    </rPh>
    <rPh sb="6" eb="8">
      <t>センタク</t>
    </rPh>
    <phoneticPr fontId="34"/>
  </si>
  <si>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6" eb="8">
      <t>センタク</t>
    </rPh>
    <rPh sb="11" eb="13">
      <t>タイショウ</t>
    </rPh>
    <rPh sb="16" eb="17">
      <t>テン</t>
    </rPh>
    <rPh sb="17" eb="19">
      <t>イジョウ</t>
    </rPh>
    <phoneticPr fontId="34"/>
  </si>
  <si>
    <t>[選択]</t>
    <rPh sb="1" eb="3">
      <t>センタク</t>
    </rPh>
    <phoneticPr fontId="34"/>
  </si>
  <si>
    <t>[選択]</t>
    <rPh sb="0" eb="2">
      <t>センタク</t>
    </rPh>
    <phoneticPr fontId="34"/>
  </si>
  <si>
    <t>※記載事項の基準日は開札日とする。</t>
    <phoneticPr fontId="34"/>
  </si>
  <si>
    <t>※確認のための提出書類は、落札候補者となり入札執行権者から連絡があってから指定期日までに提出すること。</t>
    <phoneticPr fontId="34"/>
  </si>
  <si>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4"/>
  </si>
  <si>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4"/>
  </si>
  <si>
    <r>
      <t>記　載　事　項　</t>
    </r>
    <r>
      <rPr>
        <sz val="9"/>
        <color rgb="FF000000"/>
        <rFont val="ＭＳ 明朝"/>
        <family val="1"/>
        <charset val="128"/>
      </rPr>
      <t>【記載の仕方　総合評価方式様式関係記載留意事項　§３，４，５】</t>
    </r>
    <phoneticPr fontId="34"/>
  </si>
  <si>
    <t>【上位点】過去3年以内における災害時の出動実績があり、かつ国・県・市町村のいずれかと災害時の応援協定を締結している場合。※活動場所は、災害時出動実績のある市町村を選択する。</t>
    <phoneticPr fontId="34"/>
  </si>
  <si>
    <t>【中位点】過去3年以内における災害時の出動実績がある場合。</t>
    <phoneticPr fontId="34"/>
  </si>
  <si>
    <t>【下位点】国・県・市町村のいずれかと災害時の応援協定を締結している場合。※活動場所は、協定の範囲内で、工事箇所に最も近い市町村を選択する。</t>
    <phoneticPr fontId="34"/>
  </si>
  <si>
    <r>
      <t xml:space="preserve">企業の施工能力
</t>
    </r>
    <r>
      <rPr>
        <sz val="10"/>
        <color rgb="FF000000"/>
        <rFont val="ＭＳ 明朝"/>
        <family val="1"/>
        <charset val="128"/>
      </rPr>
      <t>（同種・類似工事の施工実績）</t>
    </r>
    <phoneticPr fontId="18"/>
  </si>
  <si>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4"/>
  </si>
  <si>
    <t>[入力]
[選択]</t>
    <rPh sb="1" eb="3">
      <t>ニュウリョク</t>
    </rPh>
    <rPh sb="6" eb="8">
      <t>センタク</t>
    </rPh>
    <phoneticPr fontId="34"/>
  </si>
  <si>
    <t>[自動表示]</t>
    <rPh sb="1" eb="3">
      <t>ジドウ</t>
    </rPh>
    <rPh sb="3" eb="5">
      <t>ヒョウジ</t>
    </rPh>
    <phoneticPr fontId="34"/>
  </si>
  <si>
    <r>
      <t xml:space="preserve">記載事項
</t>
    </r>
    <r>
      <rPr>
        <sz val="7"/>
        <color rgb="FF000000"/>
        <rFont val="ＭＳ 明朝"/>
        <family val="1"/>
        <charset val="128"/>
      </rPr>
      <t>　</t>
    </r>
    <r>
      <rPr>
        <sz val="8"/>
        <color rgb="FF000000"/>
        <rFont val="ＭＳ 明朝"/>
        <family val="1"/>
        <charset val="128"/>
      </rPr>
      <t>【記載の仕方　総合評価方式様式関係記載留意事項　§３、４、５】</t>
    </r>
    <rPh sb="0" eb="2">
      <t>キサイ</t>
    </rPh>
    <rPh sb="2" eb="4">
      <t>ジコウ</t>
    </rPh>
    <phoneticPr fontId="34"/>
  </si>
  <si>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4"/>
  </si>
  <si>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4"/>
  </si>
  <si>
    <t>配置予定技術者</t>
    <rPh sb="0" eb="2">
      <t>ハイチ</t>
    </rPh>
    <rPh sb="2" eb="4">
      <t>ヨテイ</t>
    </rPh>
    <rPh sb="4" eb="7">
      <t>ギジュツシャ</t>
    </rPh>
    <phoneticPr fontId="34"/>
  </si>
  <si>
    <t>現場代理人</t>
    <rPh sb="0" eb="2">
      <t>ゲンバ</t>
    </rPh>
    <rPh sb="2" eb="5">
      <t>ダイリニン</t>
    </rPh>
    <phoneticPr fontId="34"/>
  </si>
  <si>
    <t>：1でない場合、若手・女性0点。</t>
    <rPh sb="5" eb="7">
      <t>バアイ</t>
    </rPh>
    <rPh sb="8" eb="10">
      <t>ワカテ</t>
    </rPh>
    <rPh sb="11" eb="13">
      <t>ジョセイ</t>
    </rPh>
    <rPh sb="14" eb="15">
      <t>テン</t>
    </rPh>
    <phoneticPr fontId="34"/>
  </si>
  <si>
    <t>【上位点】直前の5年度間連続して国・県・市町村いずれかの除雪業務と維持補修業務の履行実績がある場合。又は過去5年度以内に福島県道路除雪表彰事業により感謝状を受けた場合。</t>
    <phoneticPr fontId="34"/>
  </si>
  <si>
    <t>県と国、市町村の別</t>
    <rPh sb="0" eb="1">
      <t>ケン</t>
    </rPh>
    <rPh sb="2" eb="3">
      <t>クニ</t>
    </rPh>
    <rPh sb="4" eb="7">
      <t>シチョウソン</t>
    </rPh>
    <rPh sb="8" eb="9">
      <t>ベツ</t>
    </rPh>
    <phoneticPr fontId="34"/>
  </si>
  <si>
    <t>県管理施設</t>
    <rPh sb="0" eb="1">
      <t>ケン</t>
    </rPh>
    <rPh sb="1" eb="3">
      <t>カンリ</t>
    </rPh>
    <rPh sb="3" eb="5">
      <t>シセツ</t>
    </rPh>
    <phoneticPr fontId="34"/>
  </si>
  <si>
    <t>国、市町村管理施設</t>
    <rPh sb="0" eb="1">
      <t>クニ</t>
    </rPh>
    <rPh sb="2" eb="5">
      <t>シチョウソン</t>
    </rPh>
    <rPh sb="5" eb="7">
      <t>カンリ</t>
    </rPh>
    <rPh sb="7" eb="9">
      <t>シセツ</t>
    </rPh>
    <phoneticPr fontId="34"/>
  </si>
  <si>
    <t>-</t>
    <phoneticPr fontId="34"/>
  </si>
  <si>
    <r>
      <t xml:space="preserve">
配置技術者の施工能力
</t>
    </r>
    <r>
      <rPr>
        <sz val="10"/>
        <rFont val="ＭＳ 明朝"/>
        <family val="1"/>
        <charset val="128"/>
      </rPr>
      <t>（同種・類似工事の施工実績）
（注１）</t>
    </r>
    <rPh sb="30" eb="31">
      <t>チュウ</t>
    </rPh>
    <phoneticPr fontId="34"/>
  </si>
  <si>
    <r>
      <t xml:space="preserve">
配置技術者の工事成績
</t>
    </r>
    <r>
      <rPr>
        <sz val="10"/>
        <color rgb="FF000000"/>
        <rFont val="ＭＳ 明朝"/>
        <family val="1"/>
        <charset val="128"/>
      </rPr>
      <t>（80点以上の工事成績が対象）</t>
    </r>
    <rPh sb="8" eb="10">
      <t>コウジ</t>
    </rPh>
    <rPh sb="10" eb="12">
      <t>セイセキ</t>
    </rPh>
    <phoneticPr fontId="18"/>
  </si>
  <si>
    <t>※選択項目について、３項目以上選択された場合、入力された内容で加算点が高い順に２項目採用し、２番目の点数が２項目ある場合は
　上に入力されている順に採用する。</t>
    <phoneticPr fontId="34"/>
  </si>
  <si>
    <t>2：OK</t>
    <phoneticPr fontId="34"/>
  </si>
  <si>
    <r>
      <rPr>
        <sz val="16"/>
        <color theme="1"/>
        <rFont val="ＭＳ ゴシック"/>
        <family val="3"/>
        <charset val="128"/>
      </rPr>
      <t>様式第１号</t>
    </r>
    <r>
      <rPr>
        <sz val="16"/>
        <color theme="1"/>
        <rFont val="ＭＳ 明朝"/>
        <family val="1"/>
        <charset val="128"/>
      </rPr>
      <t>（第７条関係）</t>
    </r>
    <phoneticPr fontId="34"/>
  </si>
  <si>
    <t>技 術 提 案 書</t>
    <phoneticPr fontId="34"/>
  </si>
  <si>
    <t>住所</t>
    <phoneticPr fontId="34"/>
  </si>
  <si>
    <r>
      <t>①　企業の技術力及び貢献度（実績・経験等）</t>
    </r>
    <r>
      <rPr>
        <sz val="14"/>
        <rFont val="ＭＳ 明朝"/>
        <family val="1"/>
        <charset val="128"/>
      </rPr>
      <t>（特別簡易型・復旧型・復興型）</t>
    </r>
    <phoneticPr fontId="34"/>
  </si>
  <si>
    <t>　　（様式第１１号－１）</t>
    <rPh sb="8" eb="9">
      <t>ゴウ</t>
    </rPh>
    <phoneticPr fontId="34"/>
  </si>
  <si>
    <r>
      <t>①　企業の技術力及び貢献度（実績・経験等）</t>
    </r>
    <r>
      <rPr>
        <sz val="14"/>
        <rFont val="ＭＳ 明朝"/>
        <family val="1"/>
        <charset val="128"/>
      </rPr>
      <t>（地域密着型）</t>
    </r>
    <phoneticPr fontId="34"/>
  </si>
  <si>
    <t>　　（様式第１１号－２）</t>
    <rPh sb="8" eb="9">
      <t>ゴウ</t>
    </rPh>
    <phoneticPr fontId="34"/>
  </si>
  <si>
    <t>□　特別簡易型・復旧型・復興型</t>
    <phoneticPr fontId="34"/>
  </si>
  <si>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4"/>
  </si>
  <si>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4"/>
  </si>
  <si>
    <t>同一市町村内での公共工事の実績　</t>
    <phoneticPr fontId="34"/>
  </si>
  <si>
    <t>※記名ない場合、配置技術者の全ての項目を評価しない（０点）</t>
    <phoneticPr fontId="34"/>
  </si>
  <si>
    <t>ふくしまＭＥ</t>
    <phoneticPr fontId="34"/>
  </si>
  <si>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4"/>
  </si>
  <si>
    <t>[選択]</t>
    <phoneticPr fontId="34"/>
  </si>
  <si>
    <r>
      <t>氏　名</t>
    </r>
    <r>
      <rPr>
        <sz val="6"/>
        <color rgb="FF000000"/>
        <rFont val="ＭＳ 明朝"/>
        <family val="1"/>
        <charset val="128"/>
      </rPr>
      <t xml:space="preserve"> </t>
    </r>
    <phoneticPr fontId="34"/>
  </si>
  <si>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4"/>
  </si>
  <si>
    <t>【下位点】過去3年以内に、国・県・市町村いずれかの除雪業務又は維持補修業務の履行実績（除草、清掃等を除く）がある場合。</t>
    <phoneticPr fontId="34"/>
  </si>
  <si>
    <t>※（注１）：発注種別が建築工事、電気設備工事、暖冷房衛生設備工事の場合、評価対象期間は過去15年以内です。</t>
    <rPh sb="2" eb="3">
      <t>チュウ</t>
    </rPh>
    <rPh sb="13" eb="15">
      <t>コウジ</t>
    </rPh>
    <rPh sb="20" eb="22">
      <t>コウジ</t>
    </rPh>
    <rPh sb="30" eb="32">
      <t>コウジ</t>
    </rPh>
    <rPh sb="38" eb="40">
      <t>タイショウ</t>
    </rPh>
    <phoneticPr fontId="34"/>
  </si>
  <si>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4"/>
  </si>
  <si>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4"/>
  </si>
  <si>
    <r>
      <t xml:space="preserve">配置期間
</t>
    </r>
    <r>
      <rPr>
        <sz val="10"/>
        <color rgb="FF000000"/>
        <rFont val="ＭＳ 明朝"/>
        <family val="1"/>
        <charset val="128"/>
      </rPr>
      <t>(入力例:R4.5.1～R5.3.31)</t>
    </r>
    <rPh sb="0" eb="2">
      <t>ハイチ</t>
    </rPh>
    <rPh sb="2" eb="4">
      <t>キカン</t>
    </rPh>
    <rPh sb="6" eb="8">
      <t>ニュウリョク</t>
    </rPh>
    <phoneticPr fontId="34"/>
  </si>
  <si>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4"/>
  </si>
  <si>
    <t>入札公告と合っているか</t>
    <rPh sb="0" eb="2">
      <t>ニュウサツ</t>
    </rPh>
    <rPh sb="2" eb="4">
      <t>コウコク</t>
    </rPh>
    <rPh sb="5" eb="6">
      <t>ア</t>
    </rPh>
    <phoneticPr fontId="34"/>
  </si>
  <si>
    <t>入札公告と合っているか
２桁、５桁、４桁となっているか</t>
    <rPh sb="0" eb="2">
      <t>ニュウサツ</t>
    </rPh>
    <rPh sb="2" eb="4">
      <t>コウコク</t>
    </rPh>
    <rPh sb="5" eb="6">
      <t>ア</t>
    </rPh>
    <rPh sb="13" eb="14">
      <t>ケタ</t>
    </rPh>
    <rPh sb="16" eb="17">
      <t>ケタ</t>
    </rPh>
    <rPh sb="19" eb="20">
      <t>ケタ</t>
    </rPh>
    <phoneticPr fontId="34"/>
  </si>
  <si>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4"/>
  </si>
  <si>
    <t>配置予定技術者又は現場代理人として配置する場合</t>
    <phoneticPr fontId="34"/>
  </si>
  <si>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4"/>
  </si>
  <si>
    <t>「県管理施設」又は「国、市町村管理施設」を選択する
↓
（G54セル）</t>
    <phoneticPr fontId="34"/>
  </si>
  <si>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4"/>
  </si>
  <si>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</si>
  <si>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
（G94セル）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phoneticPr fontId="34"/>
  </si>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</sst>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9"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6"/>
      <color rgb="FF000000"/>
      <name val="ＭＳ 明朝"/>
      <family val="1"/>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9"/>
      <name val="ＭＳ 明朝"/>
      <family val="1"/>
      <charset val="128"/>
    </font>
    <font>
      <sz val="9"/>
      <color theme="1"/>
      <name val="ＭＳ Ｐゴシック"/>
      <family val="3"/>
      <charset val="128"/>
      <scheme val="minor"/>
    </font>
    <font>
      <sz val="16"/>
      <color theme="1"/>
      <name val="ＭＳ Ｐゴシック"/>
      <family val="3"/>
      <charset val="128"/>
    </font>
    <font>
      <b/>
      <sz val="11"/>
      <color rgb="FFFF0000"/>
      <name val="ＭＳ Ｐゴシック"/>
      <family val="3"/>
      <charset val="128"/>
    </font>
    <font>
      <sz val="12"/>
      <color theme="1"/>
      <name val="ＭＳ Ｐゴシック"/>
      <family val="3"/>
      <charset val="128"/>
    </font>
    <font>
      <b/>
      <sz val="11"/>
      <color rgb="FF000000"/>
      <name val="ＭＳ Ｐゴシック"/>
      <family val="3"/>
      <charset val="128"/>
    </font>
    <font>
      <sz val="11"/>
      <color theme="0"/>
      <name val="ＭＳ Ｐゴシック"/>
      <family val="3"/>
      <charset val="128"/>
      <scheme val="minor"/>
    </font>
    <font>
      <b/>
      <sz val="12"/>
      <color theme="1"/>
      <name val="ＭＳ Ｐゴシック"/>
      <family val="3"/>
      <charset val="128"/>
    </font>
    <font>
      <sz val="12"/>
      <color theme="1"/>
      <name val="ＭＳ Ｐゴシック"/>
      <family val="3"/>
      <charset val="128"/>
      <scheme val="minor"/>
    </font>
    <font>
      <sz val="11"/>
      <name val="ＭＳ ゴシック"/>
      <family val="3"/>
      <charset val="128"/>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00"/>
        <bgColor indexed="64"/>
      </patternFill>
    </fill>
    <fill>
      <patternFill patternType="solid">
        <fgColor rgb="FFFFFF99"/>
        <bgColor rgb="FF000000"/>
      </patternFill>
    </fill>
    <fill>
      <patternFill patternType="solid">
        <fgColor theme="0" tint="-0.34998626667073579"/>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diagonalUp="1">
      <left style="medium">
        <color indexed="64"/>
      </left>
      <right/>
      <top style="dotted">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mediumDashed">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medium">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right style="medium">
        <color indexed="64"/>
      </right>
      <top style="medium">
        <color indexed="64"/>
      </top>
      <bottom style="medium">
        <color indexed="64"/>
      </bottom>
      <diagonal style="hair">
        <color indexed="64"/>
      </diagonal>
    </border>
    <border>
      <left style="thin">
        <color indexed="64"/>
      </left>
      <right style="thin">
        <color indexed="64"/>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right style="thin">
        <color indexed="64"/>
      </right>
      <top style="thin">
        <color indexed="64"/>
      </top>
      <bottom style="mediumDashed">
        <color indexed="64"/>
      </bottom>
      <diagonal/>
    </border>
    <border>
      <left/>
      <right style="hair">
        <color indexed="64"/>
      </right>
      <top style="medium">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bottom style="dotted">
        <color indexed="64"/>
      </bottom>
      <diagonal style="thin">
        <color indexed="64"/>
      </diagonal>
    </border>
    <border>
      <left/>
      <right style="thin">
        <color indexed="64"/>
      </right>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thin">
        <color indexed="64"/>
      </bottom>
      <diagonal/>
    </border>
    <border>
      <left style="thin">
        <color auto="1"/>
      </left>
      <right style="thin">
        <color indexed="64"/>
      </right>
      <top/>
      <bottom style="medium">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37">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10" xfId="0" applyFont="1" applyBorder="1" applyAlignment="1" applyProtection="1">
      <alignment horizontal="center" vertical="center"/>
    </xf>
    <xf numFmtId="0" fontId="29" fillId="0" borderId="68"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8" xfId="0" applyFont="1" applyFill="1" applyBorder="1" applyAlignment="1" applyProtection="1">
      <alignment horizontal="center" vertical="center" wrapText="1"/>
    </xf>
    <xf numFmtId="0" fontId="29" fillId="0" borderId="14" xfId="0" applyFont="1" applyFill="1" applyBorder="1" applyAlignment="1" applyProtection="1">
      <alignment vertical="center" wrapText="1"/>
    </xf>
    <xf numFmtId="0" fontId="29" fillId="0" borderId="21" xfId="0" applyFont="1" applyFill="1" applyBorder="1" applyAlignment="1" applyProtection="1">
      <alignment vertical="center" wrapText="1"/>
    </xf>
    <xf numFmtId="0" fontId="29" fillId="0" borderId="16" xfId="0" applyFont="1" applyFill="1" applyBorder="1" applyAlignment="1" applyProtection="1">
      <alignment vertical="center" wrapText="1"/>
    </xf>
    <xf numFmtId="0" fontId="29" fillId="0" borderId="17" xfId="0" applyFont="1" applyFill="1" applyBorder="1" applyAlignment="1" applyProtection="1">
      <alignment vertical="center" wrapText="1"/>
    </xf>
    <xf numFmtId="0" fontId="29" fillId="0" borderId="23" xfId="0" applyFont="1" applyFill="1" applyBorder="1" applyAlignment="1" applyProtection="1">
      <alignment vertical="center" wrapText="1"/>
    </xf>
    <xf numFmtId="0" fontId="53" fillId="0" borderId="13" xfId="0" applyFont="1" applyFill="1" applyBorder="1" applyAlignment="1" applyProtection="1">
      <alignment horizontal="right" vertical="center"/>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1" fillId="0" borderId="10" xfId="0" applyNumberFormat="1" applyFont="1" applyFill="1" applyBorder="1" applyAlignment="1" applyProtection="1">
      <alignment horizontal="righ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0" fillId="0" borderId="10" xfId="0" applyBorder="1" applyAlignment="1" applyProtection="1">
      <alignment vertical="center"/>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39" fillId="0" borderId="10" xfId="0" applyFont="1" applyFill="1" applyBorder="1" applyAlignment="1" applyProtection="1">
      <alignment horizontal="center" vertical="center" wrapText="1"/>
    </xf>
    <xf numFmtId="0" fontId="38"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19" fillId="0" borderId="10" xfId="0" applyFont="1" applyBorder="1" applyProtection="1">
      <alignment vertical="center"/>
    </xf>
    <xf numFmtId="0" fontId="19" fillId="0" borderId="53" xfId="0" applyFont="1" applyBorder="1" applyProtection="1">
      <alignment vertical="center"/>
    </xf>
    <xf numFmtId="0" fontId="19" fillId="0" borderId="12" xfId="0" applyFont="1" applyBorder="1" applyProtection="1">
      <alignment vertical="center"/>
    </xf>
    <xf numFmtId="0" fontId="39" fillId="0" borderId="11" xfId="0" applyFont="1" applyFill="1" applyBorder="1" applyAlignment="1" applyProtection="1">
      <alignment horizontal="left" vertical="top" wrapText="1"/>
    </xf>
    <xf numFmtId="0" fontId="41"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1" fillId="0" borderId="10" xfId="0" applyNumberFormat="1" applyFont="1" applyFill="1" applyBorder="1" applyAlignment="1" applyProtection="1">
      <alignment horizontal="right" vertical="center" wrapText="1"/>
    </xf>
    <xf numFmtId="0" fontId="39"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1" fillId="0" borderId="0" xfId="0" applyNumberFormat="1" applyFont="1" applyFill="1" applyBorder="1" applyAlignment="1" applyProtection="1">
      <alignment horizontal="right" vertical="center" wrapText="1"/>
    </xf>
    <xf numFmtId="0" fontId="19" fillId="0" borderId="26" xfId="0" applyFont="1" applyBorder="1" applyProtection="1">
      <alignment vertical="center"/>
    </xf>
    <xf numFmtId="0" fontId="19" fillId="0" borderId="17" xfId="0" applyFont="1" applyBorder="1" applyProtection="1">
      <alignment vertical="center"/>
    </xf>
    <xf numFmtId="0" fontId="23" fillId="0" borderId="70"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1"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40"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2"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1" fillId="0" borderId="0" xfId="0" applyFont="1" applyFill="1" applyBorder="1" applyAlignment="1" applyProtection="1">
      <alignment vertical="center" wrapText="1"/>
    </xf>
    <xf numFmtId="181" fontId="19" fillId="0" borderId="76" xfId="0" applyNumberFormat="1" applyFont="1" applyBorder="1" applyProtection="1">
      <alignment vertical="center"/>
    </xf>
    <xf numFmtId="181" fontId="42" fillId="0" borderId="49"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0" xfId="0" applyNumberFormat="1" applyFont="1" applyBorder="1" applyProtection="1">
      <alignment vertical="center"/>
    </xf>
    <xf numFmtId="181" fontId="42"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2"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39"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5" xfId="0" applyFont="1" applyBorder="1" applyProtection="1">
      <alignment vertical="center"/>
    </xf>
    <xf numFmtId="180" fontId="0" fillId="0" borderId="0" xfId="0" applyNumberFormat="1" applyBorder="1" applyAlignment="1" applyProtection="1">
      <alignment vertical="center"/>
    </xf>
    <xf numFmtId="0" fontId="39" fillId="0" borderId="0" xfId="0" applyFont="1" applyBorder="1" applyAlignment="1" applyProtection="1">
      <alignment vertical="center" wrapText="1"/>
    </xf>
    <xf numFmtId="180" fontId="41" fillId="0" borderId="25" xfId="0" applyNumberFormat="1" applyFont="1" applyBorder="1" applyAlignment="1" applyProtection="1">
      <alignment vertical="center" wrapText="1"/>
    </xf>
    <xf numFmtId="180" fontId="42"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0" fontId="41" fillId="0" borderId="0" xfId="0" applyFont="1" applyBorder="1" applyAlignment="1" applyProtection="1">
      <alignment vertical="center" wrapText="1"/>
    </xf>
    <xf numFmtId="180" fontId="41" fillId="0" borderId="23" xfId="0" applyNumberFormat="1" applyFont="1" applyBorder="1" applyAlignment="1" applyProtection="1">
      <alignment vertical="center" wrapText="1"/>
    </xf>
    <xf numFmtId="180" fontId="42" fillId="0" borderId="23" xfId="0" applyNumberFormat="1" applyFont="1" applyBorder="1" applyAlignment="1" applyProtection="1">
      <alignment horizontal="right" vertical="center" wrapText="1"/>
    </xf>
    <xf numFmtId="0" fontId="56"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7" fontId="23" fillId="0" borderId="10" xfId="0" applyNumberFormat="1" applyFont="1" applyBorder="1" applyAlignment="1" applyProtection="1">
      <alignment horizontal="center" vertical="center" wrapText="1"/>
    </xf>
    <xf numFmtId="0" fontId="35"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5"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5"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80" fontId="35"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5"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5"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26" fillId="0" borderId="30"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0" fontId="26" fillId="0" borderId="52" xfId="0" quotePrefix="1" applyFont="1" applyBorder="1" applyAlignment="1" applyProtection="1">
      <alignment horizontal="center" vertical="center" wrapText="1"/>
    </xf>
    <xf numFmtId="0" fontId="19" fillId="0" borderId="10" xfId="0" applyFont="1" applyBorder="1" applyAlignment="1">
      <alignment horizontal="center" vertical="center" wrapText="1"/>
    </xf>
    <xf numFmtId="0" fontId="48" fillId="0" borderId="0" xfId="0" applyFont="1" applyAlignment="1" applyProtection="1">
      <alignment vertical="center"/>
    </xf>
    <xf numFmtId="0" fontId="48" fillId="0" borderId="0" xfId="0" applyFont="1" applyFill="1" applyAlignment="1" applyProtection="1">
      <alignment vertical="center"/>
    </xf>
    <xf numFmtId="0" fontId="48" fillId="0" borderId="18" xfId="0" applyFont="1" applyFill="1" applyBorder="1" applyAlignment="1" applyProtection="1">
      <alignment horizontal="left" vertical="center"/>
    </xf>
    <xf numFmtId="0" fontId="42" fillId="0" borderId="25" xfId="0" applyFont="1" applyFill="1" applyBorder="1" applyAlignment="1" applyProtection="1">
      <alignment vertical="center"/>
    </xf>
    <xf numFmtId="58" fontId="42" fillId="0" borderId="10" xfId="0" applyNumberFormat="1" applyFont="1" applyFill="1" applyBorder="1" applyAlignment="1" applyProtection="1">
      <alignment vertical="center"/>
    </xf>
    <xf numFmtId="0" fontId="42" fillId="0" borderId="0" xfId="0" applyFont="1" applyFill="1" applyBorder="1" applyAlignment="1" applyProtection="1">
      <alignment vertical="center"/>
    </xf>
    <xf numFmtId="0" fontId="42" fillId="0" borderId="10" xfId="0" applyFont="1" applyFill="1" applyBorder="1" applyAlignment="1" applyProtection="1">
      <alignment vertical="center"/>
    </xf>
    <xf numFmtId="0" fontId="48" fillId="0" borderId="19" xfId="0" applyFont="1" applyBorder="1" applyAlignment="1" applyProtection="1">
      <alignment horizontal="left" vertical="center"/>
    </xf>
    <xf numFmtId="182" fontId="48" fillId="0" borderId="10" xfId="0" applyNumberFormat="1" applyFont="1" applyBorder="1" applyAlignment="1" applyProtection="1">
      <alignment horizontal="left" vertical="center"/>
    </xf>
    <xf numFmtId="0" fontId="48" fillId="0" borderId="10" xfId="0" applyFont="1" applyFill="1" applyBorder="1" applyAlignment="1" applyProtection="1">
      <alignment horizontal="left" vertical="center"/>
    </xf>
    <xf numFmtId="179" fontId="48" fillId="0" borderId="10" xfId="0" applyNumberFormat="1" applyFont="1" applyFill="1" applyBorder="1" applyAlignment="1" applyProtection="1">
      <alignment horizontal="center" vertical="center"/>
    </xf>
    <xf numFmtId="0" fontId="42" fillId="35" borderId="10" xfId="0" applyFont="1" applyFill="1" applyBorder="1" applyAlignment="1" applyProtection="1">
      <alignment horizontal="left" vertical="center"/>
      <protection locked="0"/>
    </xf>
    <xf numFmtId="0" fontId="42" fillId="0" borderId="10" xfId="0" applyFont="1" applyBorder="1" applyAlignment="1" applyProtection="1">
      <alignment vertical="center" wrapText="1"/>
    </xf>
    <xf numFmtId="0" fontId="48" fillId="0" borderId="10" xfId="0" applyFont="1" applyBorder="1" applyAlignment="1" applyProtection="1">
      <alignment vertical="center"/>
    </xf>
    <xf numFmtId="0" fontId="48" fillId="0" borderId="0" xfId="0" applyFont="1" applyAlignment="1" applyProtection="1">
      <alignment horizontal="right" vertical="center"/>
    </xf>
    <xf numFmtId="177" fontId="48" fillId="0" borderId="10" xfId="0" applyNumberFormat="1" applyFont="1" applyBorder="1" applyAlignment="1" applyProtection="1">
      <alignment vertical="center"/>
    </xf>
    <xf numFmtId="0" fontId="48" fillId="0" borderId="0" xfId="0" applyFont="1" applyBorder="1" applyAlignment="1" applyProtection="1">
      <alignment vertical="center"/>
    </xf>
    <xf numFmtId="177" fontId="48" fillId="0" borderId="0" xfId="0" applyNumberFormat="1" applyFont="1" applyBorder="1" applyAlignment="1" applyProtection="1">
      <alignment vertical="center"/>
    </xf>
    <xf numFmtId="0" fontId="41" fillId="0" borderId="0" xfId="0" applyFont="1" applyBorder="1" applyAlignment="1" applyProtection="1">
      <alignment horizontal="left" vertical="center"/>
    </xf>
    <xf numFmtId="0" fontId="47" fillId="0" borderId="0" xfId="0" applyFont="1" applyBorder="1" applyAlignment="1" applyProtection="1">
      <alignment horizontal="left" vertical="center"/>
    </xf>
    <xf numFmtId="0" fontId="59" fillId="0" borderId="0" xfId="0" applyFont="1" applyProtection="1">
      <alignment vertical="center"/>
    </xf>
    <xf numFmtId="0" fontId="60" fillId="34" borderId="10" xfId="0" applyFont="1" applyFill="1" applyBorder="1" applyAlignment="1" applyProtection="1">
      <alignment horizontal="center" vertical="center"/>
    </xf>
    <xf numFmtId="0" fontId="48" fillId="0" borderId="10" xfId="0" applyFont="1" applyBorder="1" applyAlignment="1" applyProtection="1">
      <alignment vertical="center" wrapText="1"/>
    </xf>
    <xf numFmtId="0" fontId="48" fillId="0" borderId="10" xfId="0" applyFont="1" applyBorder="1" applyProtection="1">
      <alignment vertical="center"/>
    </xf>
    <xf numFmtId="0" fontId="42" fillId="0" borderId="10" xfId="0" applyFont="1" applyFill="1" applyBorder="1" applyAlignment="1" applyProtection="1">
      <alignment vertical="center" wrapText="1"/>
    </xf>
    <xf numFmtId="0" fontId="41" fillId="0" borderId="10" xfId="0" applyFont="1" applyBorder="1" applyAlignment="1" applyProtection="1">
      <alignment horizontal="left" vertical="center" wrapText="1"/>
    </xf>
    <xf numFmtId="0" fontId="26" fillId="37"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19" fillId="38" borderId="0" xfId="0" applyFont="1" applyFill="1" applyProtection="1">
      <alignment vertical="center"/>
    </xf>
    <xf numFmtId="0" fontId="62" fillId="38" borderId="0" xfId="0" applyFont="1" applyFill="1" applyAlignment="1" applyProtection="1">
      <alignment vertical="center"/>
    </xf>
    <xf numFmtId="0" fontId="62" fillId="38" borderId="0" xfId="0" applyFont="1" applyFill="1" applyProtection="1">
      <alignment vertical="center"/>
    </xf>
    <xf numFmtId="0" fontId="19" fillId="0" borderId="10" xfId="0" applyFont="1" applyBorder="1" applyAlignment="1" applyProtection="1">
      <alignment horizontal="center" vertical="center" wrapText="1"/>
    </xf>
    <xf numFmtId="0" fontId="22" fillId="36" borderId="46" xfId="0" applyFont="1" applyFill="1" applyBorder="1" applyAlignment="1" applyProtection="1">
      <alignment horizontal="center" vertical="center" wrapText="1"/>
    </xf>
    <xf numFmtId="177" fontId="41" fillId="36" borderId="45" xfId="0" applyNumberFormat="1" applyFont="1" applyFill="1" applyBorder="1" applyAlignment="1" applyProtection="1">
      <alignment horizontal="right" vertical="center" wrapText="1"/>
    </xf>
    <xf numFmtId="177" fontId="42" fillId="36" borderId="65" xfId="0" applyNumberFormat="1" applyFont="1" applyFill="1" applyBorder="1" applyAlignment="1" applyProtection="1">
      <alignment horizontal="right" vertical="center" wrapText="1"/>
    </xf>
    <xf numFmtId="0" fontId="42" fillId="36" borderId="45" xfId="0" applyFont="1" applyFill="1" applyBorder="1" applyAlignment="1" applyProtection="1">
      <alignment horizontal="right" vertical="center" wrapText="1"/>
    </xf>
    <xf numFmtId="0" fontId="0" fillId="36" borderId="46" xfId="0" applyFill="1" applyBorder="1" applyAlignment="1" applyProtection="1">
      <alignment horizontal="center" vertical="center"/>
    </xf>
    <xf numFmtId="180" fontId="19" fillId="36" borderId="47" xfId="0" applyNumberFormat="1" applyFont="1" applyFill="1" applyBorder="1" applyAlignment="1" applyProtection="1">
      <alignment horizontal="right" vertical="center"/>
    </xf>
    <xf numFmtId="180" fontId="19" fillId="36" borderId="47" xfId="0" applyNumberFormat="1" applyFont="1" applyFill="1" applyBorder="1" applyProtection="1">
      <alignment vertical="center"/>
    </xf>
    <xf numFmtId="180" fontId="19" fillId="36" borderId="80" xfId="0" applyNumberFormat="1" applyFont="1" applyFill="1" applyBorder="1" applyAlignment="1" applyProtection="1">
      <alignment horizontal="right" vertical="center"/>
    </xf>
    <xf numFmtId="180" fontId="19" fillId="36" borderId="81" xfId="0" applyNumberFormat="1" applyFont="1" applyFill="1" applyBorder="1" applyProtection="1">
      <alignment vertical="center"/>
    </xf>
    <xf numFmtId="176" fontId="42" fillId="36" borderId="45" xfId="0" applyNumberFormat="1" applyFont="1" applyFill="1" applyBorder="1" applyAlignment="1" applyProtection="1">
      <alignment horizontal="right" vertical="center" wrapText="1"/>
    </xf>
    <xf numFmtId="0" fontId="63" fillId="34" borderId="10" xfId="0" applyFont="1" applyFill="1" applyBorder="1" applyAlignment="1" applyProtection="1">
      <alignment horizontal="left" vertical="center"/>
    </xf>
    <xf numFmtId="0" fontId="48" fillId="0" borderId="20" xfId="0" applyFont="1" applyBorder="1" applyAlignment="1" applyProtection="1">
      <alignment horizontal="left" vertical="center" wrapText="1"/>
    </xf>
    <xf numFmtId="0" fontId="19" fillId="0" borderId="20" xfId="0" applyFont="1" applyBorder="1" applyAlignment="1" applyProtection="1">
      <alignment horizontal="right" vertical="center"/>
    </xf>
    <xf numFmtId="177" fontId="23" fillId="33" borderId="10" xfId="0" applyNumberFormat="1" applyFont="1" applyFill="1" applyBorder="1" applyAlignment="1" applyProtection="1">
      <alignment horizontal="center" vertical="center" wrapText="1"/>
    </xf>
    <xf numFmtId="177" fontId="23" fillId="0" borderId="18" xfId="0" applyNumberFormat="1" applyFont="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0"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55" fillId="0" borderId="0" xfId="0" applyFont="1" applyProtection="1">
      <alignment vertical="center"/>
    </xf>
    <xf numFmtId="0" fontId="38" fillId="0" borderId="0" xfId="0" applyFont="1" applyAlignment="1" applyProtection="1">
      <alignment horizontal="justify" vertical="center"/>
    </xf>
    <xf numFmtId="176" fontId="19" fillId="0" borderId="26" xfId="0" applyNumberFormat="1" applyFont="1" applyBorder="1" applyProtection="1">
      <alignment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0" fillId="0" borderId="28" xfId="0" applyBorder="1" applyAlignment="1" applyProtection="1">
      <alignment vertical="center"/>
    </xf>
    <xf numFmtId="0" fontId="19" fillId="0" borderId="10" xfId="0" applyFont="1" applyBorder="1" applyAlignment="1" applyProtection="1">
      <alignment vertical="center" shrinkToFit="1"/>
    </xf>
    <xf numFmtId="0" fontId="57" fillId="0" borderId="10" xfId="0" applyFont="1" applyBorder="1" applyAlignment="1" applyProtection="1">
      <alignment horizontal="center" vertical="center" wrapText="1"/>
    </xf>
    <xf numFmtId="182" fontId="41" fillId="0" borderId="0" xfId="0" applyNumberFormat="1" applyFont="1" applyBorder="1" applyAlignment="1" applyProtection="1">
      <alignment vertical="center" wrapText="1"/>
    </xf>
    <xf numFmtId="180" fontId="42" fillId="0" borderId="0" xfId="0" applyNumberFormat="1" applyFont="1" applyBorder="1" applyAlignment="1" applyProtection="1">
      <alignment horizontal="left" vertical="center"/>
    </xf>
    <xf numFmtId="180" fontId="0" fillId="36"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19" fillId="0" borderId="42" xfId="0" applyNumberFormat="1" applyFont="1" applyBorder="1" applyProtection="1">
      <alignment vertical="center"/>
    </xf>
    <xf numFmtId="177" fontId="19" fillId="0" borderId="37" xfId="0" applyNumberFormat="1" applyFont="1" applyBorder="1" applyProtection="1">
      <alignment vertical="center"/>
    </xf>
    <xf numFmtId="177" fontId="19" fillId="0" borderId="85" xfId="0" applyNumberFormat="1" applyFont="1" applyBorder="1" applyProtection="1">
      <alignment vertical="center"/>
    </xf>
    <xf numFmtId="177" fontId="19" fillId="0" borderId="86" xfId="0" applyNumberFormat="1" applyFont="1" applyBorder="1" applyProtection="1">
      <alignment vertical="center"/>
    </xf>
    <xf numFmtId="177" fontId="19" fillId="0" borderId="87" xfId="0" applyNumberFormat="1" applyFont="1" applyBorder="1" applyProtection="1">
      <alignment vertical="center"/>
    </xf>
    <xf numFmtId="177" fontId="19" fillId="0" borderId="41" xfId="0" applyNumberFormat="1" applyFont="1" applyBorder="1" applyProtection="1">
      <alignment vertical="center"/>
    </xf>
    <xf numFmtId="177" fontId="19" fillId="0" borderId="88" xfId="0" applyNumberFormat="1" applyFont="1" applyBorder="1" applyProtection="1">
      <alignment vertical="center"/>
    </xf>
    <xf numFmtId="177" fontId="23" fillId="33" borderId="18" xfId="0" applyNumberFormat="1" applyFont="1" applyFill="1" applyBorder="1" applyAlignment="1" applyProtection="1">
      <alignment horizontal="center" vertical="center" wrapText="1"/>
    </xf>
    <xf numFmtId="0" fontId="23" fillId="37" borderId="30" xfId="0" applyFont="1" applyFill="1" applyBorder="1" applyAlignment="1" applyProtection="1">
      <alignment horizontal="center" vertical="center" wrapText="1"/>
      <protection locked="0"/>
    </xf>
    <xf numFmtId="0" fontId="26" fillId="0" borderId="47" xfId="0" applyFont="1" applyBorder="1" applyAlignment="1" applyProtection="1">
      <alignment horizontal="center" vertical="center" wrapText="1"/>
    </xf>
    <xf numFmtId="176" fontId="23" fillId="0" borderId="90" xfId="0" applyNumberFormat="1" applyFont="1" applyFill="1" applyBorder="1" applyAlignment="1" applyProtection="1">
      <alignment horizontal="center" vertical="center" wrapText="1"/>
    </xf>
    <xf numFmtId="0" fontId="19" fillId="0" borderId="45" xfId="0" applyFont="1" applyBorder="1" applyProtection="1">
      <alignment vertical="center"/>
    </xf>
    <xf numFmtId="180" fontId="19" fillId="0" borderId="10" xfId="0" applyNumberFormat="1" applyFont="1" applyBorder="1" applyAlignment="1" applyProtection="1">
      <alignment vertical="center"/>
    </xf>
    <xf numFmtId="0" fontId="0" fillId="0" borderId="0" xfId="0" applyFill="1" applyBorder="1" applyAlignment="1"/>
    <xf numFmtId="180" fontId="19" fillId="0" borderId="10" xfId="0" applyNumberFormat="1" applyFont="1" applyBorder="1" applyProtection="1">
      <alignment vertical="center"/>
    </xf>
    <xf numFmtId="0" fontId="19" fillId="36" borderId="10" xfId="0" applyFont="1" applyFill="1" applyBorder="1" applyProtection="1">
      <alignment vertical="center"/>
    </xf>
    <xf numFmtId="180" fontId="19" fillId="36" borderId="12" xfId="0" applyNumberFormat="1" applyFont="1" applyFill="1" applyBorder="1" applyAlignment="1" applyProtection="1">
      <alignment horizontal="center" vertical="center"/>
    </xf>
    <xf numFmtId="0" fontId="24" fillId="0" borderId="0" xfId="0" applyFont="1" applyAlignment="1" applyProtection="1">
      <alignment horizontal="justify" vertical="center"/>
    </xf>
    <xf numFmtId="0" fontId="24" fillId="0" borderId="23" xfId="0" applyFont="1" applyBorder="1" applyAlignment="1" applyProtection="1">
      <alignment horizontal="right" vertical="center" wrapText="1"/>
    </xf>
    <xf numFmtId="0" fontId="53" fillId="0" borderId="23" xfId="0" applyFont="1" applyBorder="1" applyAlignment="1" applyProtection="1">
      <alignment vertical="center"/>
    </xf>
    <xf numFmtId="0" fontId="66" fillId="0" borderId="0" xfId="0" applyFont="1" applyProtection="1">
      <alignment vertical="center"/>
    </xf>
    <xf numFmtId="0" fontId="23" fillId="0" borderId="48" xfId="0" applyFont="1" applyFill="1" applyBorder="1" applyAlignment="1" applyProtection="1">
      <alignment horizontal="left" wrapText="1" shrinkToFit="1"/>
    </xf>
    <xf numFmtId="0" fontId="31" fillId="0" borderId="0" xfId="0" applyFont="1" applyBorder="1" applyAlignment="1" applyProtection="1">
      <alignment horizontal="center" vertical="center"/>
    </xf>
    <xf numFmtId="0" fontId="23" fillId="37" borderId="30" xfId="0" applyFont="1" applyFill="1" applyBorder="1" applyAlignment="1" applyProtection="1">
      <alignment horizontal="center" vertical="center" wrapText="1"/>
      <protection locked="0"/>
    </xf>
    <xf numFmtId="0" fontId="63" fillId="0" borderId="10" xfId="0" applyFont="1" applyBorder="1" applyProtection="1">
      <alignment vertical="center"/>
    </xf>
    <xf numFmtId="0" fontId="40" fillId="0" borderId="0" xfId="0" applyFont="1" applyAlignment="1">
      <alignment horizontal="right" vertical="center"/>
    </xf>
    <xf numFmtId="0" fontId="36" fillId="0" borderId="0" xfId="0" applyFont="1" applyProtection="1">
      <alignment vertical="center"/>
    </xf>
    <xf numFmtId="0" fontId="67" fillId="0" borderId="0" xfId="0" applyFont="1" applyProtection="1">
      <alignment vertical="center"/>
    </xf>
    <xf numFmtId="0" fontId="70" fillId="0" borderId="0" xfId="0" applyFont="1" applyProtection="1">
      <alignment vertical="center"/>
    </xf>
    <xf numFmtId="0" fontId="67" fillId="0" borderId="0" xfId="0" applyFont="1" applyAlignment="1" applyProtection="1">
      <alignment horizontal="left" vertical="center" indent="2"/>
    </xf>
    <xf numFmtId="0" fontId="70" fillId="0" borderId="0" xfId="0" applyFont="1" applyAlignment="1" applyProtection="1">
      <alignment horizontal="justify" vertical="center"/>
    </xf>
    <xf numFmtId="0" fontId="70" fillId="0" borderId="0" xfId="0" applyFont="1" applyAlignment="1" applyProtection="1">
      <alignment vertical="center"/>
    </xf>
    <xf numFmtId="0" fontId="72" fillId="0" borderId="0" xfId="0" applyFont="1" applyFill="1" applyAlignment="1" applyProtection="1">
      <alignment horizontal="right" vertical="center"/>
    </xf>
    <xf numFmtId="0" fontId="70" fillId="0" borderId="0" xfId="0" applyFont="1" applyAlignment="1" applyProtection="1">
      <alignment horizontal="left" vertical="center"/>
    </xf>
    <xf numFmtId="0" fontId="70" fillId="0" borderId="0" xfId="0" applyFont="1" applyFill="1" applyAlignment="1" applyProtection="1">
      <alignment vertical="center" shrinkToFit="1"/>
    </xf>
    <xf numFmtId="0" fontId="73" fillId="0" borderId="0" xfId="0" applyFont="1" applyProtection="1">
      <alignment vertical="center"/>
    </xf>
    <xf numFmtId="0" fontId="74" fillId="0" borderId="0" xfId="0" applyFont="1" applyProtection="1">
      <alignment vertical="center"/>
    </xf>
    <xf numFmtId="0" fontId="67" fillId="0" borderId="0" xfId="0" applyFont="1" applyAlignment="1" applyProtection="1">
      <alignment horizontal="left" vertical="center"/>
    </xf>
    <xf numFmtId="0" fontId="45" fillId="0" borderId="0" xfId="0" applyFont="1" applyBorder="1" applyProtection="1">
      <alignment vertical="center"/>
    </xf>
    <xf numFmtId="0" fontId="67" fillId="0" borderId="0" xfId="0" applyFont="1" applyBorder="1" applyAlignment="1" applyProtection="1">
      <alignment horizontal="right" vertical="top"/>
    </xf>
    <xf numFmtId="0" fontId="75" fillId="0" borderId="0" xfId="0" applyFont="1" applyBorder="1" applyAlignment="1" applyProtection="1">
      <alignment horizontal="left" vertical="top" wrapText="1"/>
    </xf>
    <xf numFmtId="182" fontId="26" fillId="35" borderId="69" xfId="0" quotePrefix="1" applyNumberFormat="1" applyFont="1" applyFill="1" applyBorder="1" applyAlignment="1" applyProtection="1">
      <alignment horizontal="center" vertical="center" wrapText="1"/>
      <protection locked="0"/>
    </xf>
    <xf numFmtId="0" fontId="19" fillId="0" borderId="22" xfId="0" applyFont="1" applyBorder="1" applyAlignment="1" applyProtection="1">
      <alignment horizontal="right" vertical="center" shrinkToFit="1"/>
    </xf>
    <xf numFmtId="0" fontId="19" fillId="0" borderId="18" xfId="0" applyFont="1" applyBorder="1" applyProtection="1">
      <alignment vertical="center"/>
    </xf>
    <xf numFmtId="0" fontId="19" fillId="0" borderId="86" xfId="0" applyFont="1" applyBorder="1" applyProtection="1">
      <alignment vertical="center"/>
    </xf>
    <xf numFmtId="0" fontId="19" fillId="0" borderId="86" xfId="0" applyFont="1" applyBorder="1" applyAlignment="1" applyProtection="1">
      <alignment horizontal="right" vertical="center"/>
    </xf>
    <xf numFmtId="0" fontId="35" fillId="0" borderId="86" xfId="0" applyFont="1" applyBorder="1" applyAlignment="1" applyProtection="1">
      <alignment vertical="center" wrapText="1"/>
    </xf>
    <xf numFmtId="0" fontId="19" fillId="0" borderId="99" xfId="0" applyFont="1" applyBorder="1" applyAlignment="1" applyProtection="1">
      <alignment horizontal="center" vertical="center" shrinkToFit="1"/>
    </xf>
    <xf numFmtId="0" fontId="19" fillId="0" borderId="100" xfId="0" applyFont="1" applyBorder="1" applyAlignment="1" applyProtection="1">
      <alignment horizontal="right" vertical="center" shrinkToFit="1"/>
    </xf>
    <xf numFmtId="0" fontId="19" fillId="0" borderId="101" xfId="0" applyFont="1" applyBorder="1" applyAlignment="1" applyProtection="1">
      <alignment horizontal="right" vertical="center" shrinkToFit="1"/>
    </xf>
    <xf numFmtId="177" fontId="19" fillId="0" borderId="102" xfId="0" applyNumberFormat="1" applyFont="1" applyBorder="1" applyAlignment="1" applyProtection="1">
      <alignment horizontal="right" vertical="center" shrinkToFit="1"/>
    </xf>
    <xf numFmtId="0" fontId="35" fillId="0" borderId="18" xfId="0" applyFont="1" applyBorder="1" applyAlignment="1" applyProtection="1">
      <alignment vertical="center" wrapText="1"/>
    </xf>
    <xf numFmtId="0" fontId="19" fillId="0" borderId="103" xfId="0" applyFont="1" applyBorder="1" applyAlignment="1" applyProtection="1">
      <alignment horizontal="center" vertical="center" shrinkToFit="1"/>
    </xf>
    <xf numFmtId="0" fontId="19" fillId="0" borderId="104"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105" xfId="0" applyNumberFormat="1" applyFont="1" applyBorder="1" applyAlignment="1" applyProtection="1">
      <alignment horizontal="right" vertical="center" shrinkToFit="1"/>
    </xf>
    <xf numFmtId="177" fontId="19" fillId="0" borderId="49" xfId="0" applyNumberFormat="1" applyFont="1" applyBorder="1" applyAlignment="1" applyProtection="1">
      <alignment horizontal="right" vertical="center" shrinkToFit="1"/>
    </xf>
    <xf numFmtId="0" fontId="19" fillId="0" borderId="49" xfId="0" applyFont="1" applyBorder="1" applyProtection="1">
      <alignment vertical="center"/>
    </xf>
    <xf numFmtId="177" fontId="19" fillId="0" borderId="107" xfId="0" applyNumberFormat="1" applyFont="1" applyBorder="1" applyAlignment="1" applyProtection="1">
      <alignment horizontal="right" vertical="center" shrinkToFit="1"/>
    </xf>
    <xf numFmtId="177" fontId="19" fillId="0" borderId="86" xfId="0" applyNumberFormat="1" applyFont="1" applyBorder="1" applyAlignment="1" applyProtection="1">
      <alignment horizontal="right" vertical="center" shrinkToFit="1"/>
    </xf>
    <xf numFmtId="180" fontId="35" fillId="0" borderId="18" xfId="0" applyNumberFormat="1" applyFont="1" applyBorder="1" applyAlignment="1" applyProtection="1">
      <alignment vertical="center" wrapText="1"/>
    </xf>
    <xf numFmtId="180" fontId="42" fillId="0" borderId="18" xfId="0" applyNumberFormat="1" applyFont="1" applyBorder="1" applyAlignment="1" applyProtection="1">
      <alignment vertical="center" wrapText="1"/>
    </xf>
    <xf numFmtId="180" fontId="42" fillId="0" borderId="20" xfId="0" applyNumberFormat="1" applyFont="1" applyBorder="1" applyAlignment="1" applyProtection="1">
      <alignment vertical="center" wrapText="1"/>
    </xf>
    <xf numFmtId="180" fontId="35" fillId="0" borderId="86" xfId="0" applyNumberFormat="1" applyFont="1" applyBorder="1" applyAlignment="1" applyProtection="1">
      <alignment vertical="center" wrapText="1"/>
    </xf>
    <xf numFmtId="180" fontId="42" fillId="0" borderId="86" xfId="0" applyNumberFormat="1" applyFont="1" applyBorder="1" applyAlignment="1" applyProtection="1">
      <alignment vertical="center" wrapText="1"/>
    </xf>
    <xf numFmtId="177" fontId="19" fillId="0" borderId="20" xfId="0" applyNumberFormat="1" applyFont="1" applyBorder="1" applyProtection="1">
      <alignment vertical="center"/>
    </xf>
    <xf numFmtId="177" fontId="19" fillId="0" borderId="108" xfId="0" applyNumberFormat="1" applyFont="1" applyBorder="1" applyProtection="1">
      <alignment vertical="center"/>
    </xf>
    <xf numFmtId="0" fontId="0" fillId="0" borderId="0" xfId="0" applyFont="1" applyAlignment="1" applyProtection="1">
      <alignment vertical="center"/>
    </xf>
    <xf numFmtId="0" fontId="19" fillId="0" borderId="0" xfId="0" applyFont="1" applyAlignment="1" applyProtection="1">
      <alignment vertical="center"/>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2" fillId="0" borderId="0" xfId="0" applyFont="1" applyBorder="1" applyAlignment="1" applyProtection="1">
      <alignment vertical="top"/>
    </xf>
    <xf numFmtId="177" fontId="19" fillId="0" borderId="0" xfId="0" applyNumberFormat="1" applyFont="1" applyBorder="1" applyAlignment="1" applyProtection="1">
      <alignment vertical="top"/>
    </xf>
    <xf numFmtId="176" fontId="42"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19" fillId="0" borderId="20" xfId="0" applyFont="1" applyBorder="1" applyAlignment="1" applyProtection="1">
      <alignment horizontal="right" vertical="center"/>
    </xf>
    <xf numFmtId="0" fontId="19" fillId="0" borderId="110" xfId="0" applyFont="1" applyBorder="1" applyAlignment="1" applyProtection="1">
      <alignment horizontal="center" vertical="center"/>
    </xf>
    <xf numFmtId="0" fontId="19" fillId="0" borderId="76" xfId="0" applyFont="1" applyBorder="1" applyAlignment="1" applyProtection="1">
      <alignment horizontal="center" vertical="center"/>
    </xf>
    <xf numFmtId="0" fontId="19" fillId="0" borderId="101" xfId="0" applyFont="1" applyBorder="1" applyProtection="1">
      <alignment vertical="center"/>
    </xf>
    <xf numFmtId="0" fontId="19" fillId="0" borderId="106" xfId="0" applyFont="1" applyBorder="1" applyProtection="1">
      <alignment vertical="center"/>
    </xf>
    <xf numFmtId="0" fontId="19" fillId="0" borderId="100" xfId="0" applyFont="1" applyBorder="1" applyProtection="1">
      <alignment vertical="center"/>
    </xf>
    <xf numFmtId="0" fontId="19" fillId="0" borderId="99" xfId="0" applyFont="1" applyBorder="1" applyAlignment="1" applyProtection="1">
      <alignment horizontal="center" vertical="center"/>
    </xf>
    <xf numFmtId="0" fontId="19" fillId="0" borderId="36" xfId="0" applyFont="1" applyBorder="1" applyProtection="1">
      <alignment vertical="center"/>
    </xf>
    <xf numFmtId="0" fontId="19" fillId="0" borderId="35"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11" xfId="0" applyFont="1" applyBorder="1" applyAlignment="1" applyProtection="1">
      <alignment horizontal="center" vertical="center" shrinkToFit="1"/>
    </xf>
    <xf numFmtId="0" fontId="19" fillId="0" borderId="13" xfId="0" applyFont="1" applyBorder="1" applyAlignment="1" applyProtection="1">
      <alignment horizontal="right" vertical="center"/>
    </xf>
    <xf numFmtId="0" fontId="19" fillId="0" borderId="112" xfId="0" applyFont="1" applyBorder="1" applyAlignment="1" applyProtection="1">
      <alignment horizontal="right" vertical="center"/>
    </xf>
    <xf numFmtId="0" fontId="19" fillId="0" borderId="113" xfId="0" applyFont="1" applyBorder="1" applyAlignment="1" applyProtection="1">
      <alignment horizontal="center" vertical="center"/>
    </xf>
    <xf numFmtId="0" fontId="19" fillId="0" borderId="36" xfId="0" applyFont="1" applyBorder="1" applyAlignment="1" applyProtection="1">
      <alignment horizontal="right" vertical="center"/>
    </xf>
    <xf numFmtId="178" fontId="76" fillId="0" borderId="0" xfId="0" applyNumberFormat="1" applyFont="1" applyBorder="1" applyAlignment="1" applyProtection="1">
      <alignment horizontal="right" vertical="top"/>
    </xf>
    <xf numFmtId="0" fontId="26" fillId="35" borderId="28" xfId="0" applyFont="1" applyFill="1" applyBorder="1" applyAlignment="1" applyProtection="1">
      <alignment horizontal="center" vertical="center" wrapText="1"/>
      <protection locked="0"/>
    </xf>
    <xf numFmtId="0" fontId="26" fillId="35" borderId="96" xfId="0" applyFont="1" applyFill="1" applyBorder="1" applyAlignment="1" applyProtection="1">
      <alignment horizontal="center" vertical="center" wrapText="1"/>
      <protection locked="0"/>
    </xf>
    <xf numFmtId="0" fontId="48" fillId="0" borderId="18" xfId="0" applyFont="1" applyBorder="1" applyAlignment="1" applyProtection="1">
      <alignment horizontal="left" vertical="center" wrapText="1"/>
    </xf>
    <xf numFmtId="0" fontId="48" fillId="0" borderId="20" xfId="0" applyFont="1" applyBorder="1" applyAlignment="1" applyProtection="1">
      <alignment horizontal="left" vertical="center" wrapText="1"/>
    </xf>
    <xf numFmtId="0" fontId="58" fillId="0" borderId="0" xfId="0" applyFont="1" applyAlignment="1" applyProtection="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64" fillId="34" borderId="12" xfId="0" applyFont="1" applyFill="1" applyBorder="1" applyAlignment="1" applyProtection="1">
      <alignment horizontal="center" vertical="center"/>
    </xf>
    <xf numFmtId="0" fontId="64" fillId="34" borderId="11" xfId="0" applyFont="1" applyFill="1" applyBorder="1" applyAlignment="1" applyProtection="1">
      <alignment horizontal="center" vertical="center"/>
    </xf>
    <xf numFmtId="0" fontId="42" fillId="35" borderId="12" xfId="0" applyFont="1" applyFill="1" applyBorder="1" applyAlignment="1" applyProtection="1">
      <alignment horizontal="left" vertical="center"/>
      <protection locked="0"/>
    </xf>
    <xf numFmtId="0" fontId="42"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48" fillId="35" borderId="12" xfId="0" applyFont="1" applyFill="1" applyBorder="1" applyAlignment="1" applyProtection="1">
      <alignment vertical="center"/>
      <protection locked="0"/>
    </xf>
    <xf numFmtId="0" fontId="48" fillId="35" borderId="11" xfId="0" applyFont="1" applyFill="1" applyBorder="1" applyAlignment="1" applyProtection="1">
      <alignment vertical="center"/>
      <protection locked="0"/>
    </xf>
    <xf numFmtId="0" fontId="35" fillId="35" borderId="12" xfId="0" applyFont="1" applyFill="1" applyBorder="1" applyAlignment="1" applyProtection="1">
      <alignment horizontal="left" vertical="center"/>
      <protection locked="0"/>
    </xf>
    <xf numFmtId="0" fontId="35"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23" fillId="35" borderId="43"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177" fontId="26" fillId="0" borderId="9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0" fontId="54" fillId="0" borderId="94" xfId="0" applyFont="1" applyBorder="1" applyAlignment="1" applyProtection="1">
      <alignment horizontal="left" vertical="center" wrapText="1"/>
    </xf>
    <xf numFmtId="0" fontId="54" fillId="0" borderId="95" xfId="0" applyFont="1" applyBorder="1" applyAlignment="1" applyProtection="1">
      <alignment horizontal="left" vertical="center" wrapText="1"/>
    </xf>
    <xf numFmtId="0" fontId="54" fillId="0" borderId="10" xfId="0" applyFont="1" applyBorder="1" applyAlignment="1" applyProtection="1">
      <alignment horizontal="left" vertical="center" wrapText="1"/>
    </xf>
    <xf numFmtId="0" fontId="54" fillId="0" borderId="42" xfId="0" applyFont="1" applyBorder="1" applyAlignment="1" applyProtection="1">
      <alignment horizontal="left" vertical="center" wrapText="1"/>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23" fillId="37" borderId="30" xfId="0" applyFont="1" applyFill="1" applyBorder="1" applyAlignment="1" applyProtection="1">
      <alignment horizontal="left" vertical="center" wrapText="1"/>
      <protection locked="0"/>
    </xf>
    <xf numFmtId="0" fontId="23" fillId="37" borderId="54" xfId="0" applyFont="1" applyFill="1" applyBorder="1" applyAlignment="1" applyProtection="1">
      <alignment horizontal="left" vertical="center" wrapText="1"/>
      <protection locked="0"/>
    </xf>
    <xf numFmtId="0" fontId="23" fillId="37" borderId="31" xfId="0" applyFont="1" applyFill="1" applyBorder="1" applyAlignment="1" applyProtection="1">
      <alignment horizontal="left" vertical="center" wrapText="1"/>
      <protection locked="0"/>
    </xf>
    <xf numFmtId="0" fontId="23" fillId="35" borderId="30" xfId="0" applyFont="1" applyFill="1" applyBorder="1" applyAlignment="1" applyProtection="1">
      <alignment horizontal="center" vertical="center" shrinkToFit="1"/>
      <protection locked="0"/>
    </xf>
    <xf numFmtId="0" fontId="23" fillId="35" borderId="54"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24" xfId="0" applyFont="1" applyBorder="1" applyAlignment="1" applyProtection="1">
      <alignment horizontal="center" vertical="center"/>
    </xf>
    <xf numFmtId="0" fontId="23" fillId="35" borderId="44" xfId="0" applyFont="1" applyFill="1" applyBorder="1" applyAlignment="1" applyProtection="1">
      <alignment horizontal="center" vertical="center" shrinkToFit="1"/>
      <protection locked="0"/>
    </xf>
    <xf numFmtId="0" fontId="22" fillId="0" borderId="14"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6" xfId="0" applyFont="1" applyFill="1" applyBorder="1" applyAlignment="1" applyProtection="1">
      <alignment horizontal="left" vertical="center" wrapText="1"/>
    </xf>
    <xf numFmtId="0" fontId="26" fillId="0" borderId="12" xfId="0" quotePrefix="1" applyFont="1" applyBorder="1" applyAlignment="1" applyProtection="1">
      <alignment horizontal="left" vertical="center" wrapText="1"/>
    </xf>
    <xf numFmtId="0" fontId="26" fillId="0" borderId="24" xfId="0" quotePrefix="1" applyFont="1" applyBorder="1" applyAlignment="1" applyProtection="1">
      <alignment horizontal="left" vertical="center" wrapText="1"/>
    </xf>
    <xf numFmtId="0" fontId="26" fillId="0" borderId="21" xfId="0" quotePrefix="1" applyFont="1" applyBorder="1" applyAlignment="1" applyProtection="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4"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1" fillId="0" borderId="44" xfId="0" applyFont="1" applyFill="1" applyBorder="1" applyAlignment="1" applyProtection="1">
      <alignment horizontal="left" vertical="top" wrapText="1" shrinkToFit="1"/>
    </xf>
    <xf numFmtId="0" fontId="21" fillId="0" borderId="51" xfId="0" applyFont="1" applyFill="1" applyBorder="1" applyAlignment="1" applyProtection="1">
      <alignment horizontal="left" vertical="top" wrapText="1" shrinkToFit="1"/>
    </xf>
    <xf numFmtId="0" fontId="56" fillId="0" borderId="23" xfId="0" applyFont="1" applyFill="1" applyBorder="1" applyAlignment="1" applyProtection="1">
      <alignment horizontal="center" vertical="center" wrapText="1"/>
    </xf>
    <xf numFmtId="0" fontId="56" fillId="0" borderId="74" xfId="0" applyFont="1" applyFill="1" applyBorder="1" applyAlignment="1" applyProtection="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4"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9" fillId="0" borderId="91" xfId="0" applyNumberFormat="1" applyFont="1" applyFill="1" applyBorder="1" applyAlignment="1" applyProtection="1">
      <alignment horizontal="center" vertical="center"/>
    </xf>
    <xf numFmtId="0" fontId="29" fillId="0" borderId="92" xfId="0" applyNumberFormat="1" applyFont="1" applyFill="1" applyBorder="1" applyAlignment="1" applyProtection="1">
      <alignment horizontal="center" vertical="center"/>
    </xf>
    <xf numFmtId="0" fontId="29" fillId="0" borderId="93" xfId="0" applyNumberFormat="1" applyFont="1" applyFill="1" applyBorder="1" applyAlignment="1" applyProtection="1">
      <alignment horizontal="center" vertical="center"/>
    </xf>
    <xf numFmtId="180" fontId="19" fillId="36" borderId="78" xfId="0" applyNumberFormat="1" applyFont="1" applyFill="1" applyBorder="1" applyAlignment="1" applyProtection="1">
      <alignment horizontal="right" vertical="center"/>
    </xf>
    <xf numFmtId="180" fontId="19" fillId="36" borderId="77" xfId="0" applyNumberFormat="1" applyFont="1" applyFill="1" applyBorder="1" applyAlignment="1" applyProtection="1">
      <alignment horizontal="right" vertical="center"/>
    </xf>
    <xf numFmtId="180" fontId="19" fillId="36" borderId="79" xfId="0" applyNumberFormat="1" applyFont="1" applyFill="1" applyBorder="1" applyAlignment="1" applyProtection="1">
      <alignment horizontal="right" vertical="center"/>
    </xf>
    <xf numFmtId="0" fontId="23" fillId="37" borderId="30" xfId="0" applyFont="1" applyFill="1" applyBorder="1" applyAlignment="1" applyProtection="1">
      <alignment horizontal="center" vertical="center" wrapText="1"/>
      <protection locked="0"/>
    </xf>
    <xf numFmtId="0" fontId="23" fillId="37" borderId="54" xfId="0" applyFont="1" applyFill="1" applyBorder="1" applyAlignment="1" applyProtection="1">
      <alignment horizontal="center" vertical="center" wrapText="1"/>
      <protection locked="0"/>
    </xf>
    <xf numFmtId="0" fontId="23" fillId="37" borderId="31" xfId="0" applyFont="1" applyFill="1" applyBorder="1" applyAlignment="1" applyProtection="1">
      <alignment horizontal="center" vertical="center" wrapText="1"/>
      <protection locked="0"/>
    </xf>
    <xf numFmtId="0" fontId="29" fillId="0" borderId="12" xfId="0" applyFont="1" applyFill="1" applyBorder="1" applyAlignment="1" applyProtection="1">
      <alignment horizontal="left" vertical="center" wrapText="1"/>
    </xf>
    <xf numFmtId="0" fontId="29" fillId="0" borderId="52" xfId="0" applyFont="1" applyFill="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52"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2"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52" xfId="0" applyFont="1" applyFill="1" applyBorder="1" applyAlignment="1" applyProtection="1">
      <alignment horizontal="left" vertical="center" wrapText="1"/>
    </xf>
    <xf numFmtId="0" fontId="54" fillId="0" borderId="12" xfId="0" applyFont="1" applyFill="1" applyBorder="1" applyAlignment="1" applyProtection="1">
      <alignment horizontal="left" vertical="center" wrapText="1"/>
    </xf>
    <xf numFmtId="0" fontId="54" fillId="0" borderId="52" xfId="0" applyFont="1" applyFill="1" applyBorder="1" applyAlignment="1" applyProtection="1">
      <alignment horizontal="left" vertical="center" wrapText="1"/>
    </xf>
    <xf numFmtId="0" fontId="54" fillId="0" borderId="11"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6"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2"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52" xfId="0" applyFont="1" applyFill="1" applyBorder="1" applyAlignment="1" applyProtection="1">
      <alignment horizontal="left" vertical="center" wrapText="1"/>
    </xf>
    <xf numFmtId="183" fontId="29" fillId="35" borderId="30" xfId="0" applyNumberFormat="1" applyFont="1" applyFill="1" applyBorder="1" applyAlignment="1" applyProtection="1">
      <alignment horizontal="center" vertical="center" wrapText="1"/>
      <protection locked="0"/>
    </xf>
    <xf numFmtId="183" fontId="29" fillId="35" borderId="54" xfId="0" applyNumberFormat="1" applyFont="1" applyFill="1" applyBorder="1" applyAlignment="1" applyProtection="1">
      <alignment horizontal="center" vertical="center" wrapText="1"/>
      <protection locked="0"/>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4" fillId="0" borderId="0" xfId="0" applyFont="1" applyAlignment="1" applyProtection="1">
      <alignment horizontal="justify" vertical="center" wrapText="1"/>
    </xf>
    <xf numFmtId="0" fontId="19" fillId="0" borderId="82" xfId="0" applyFont="1" applyBorder="1" applyAlignment="1" applyProtection="1">
      <alignment horizontal="center" vertical="center"/>
    </xf>
    <xf numFmtId="0" fontId="19" fillId="0" borderId="84" xfId="0" applyFont="1" applyBorder="1" applyAlignment="1" applyProtection="1">
      <alignment horizontal="center" vertical="center"/>
    </xf>
    <xf numFmtId="0" fontId="19" fillId="0" borderId="83" xfId="0" applyFont="1" applyBorder="1" applyAlignment="1" applyProtection="1">
      <alignment horizontal="center" vertical="center"/>
    </xf>
    <xf numFmtId="183" fontId="29" fillId="35" borderId="31" xfId="0" applyNumberFormat="1" applyFont="1" applyFill="1" applyBorder="1" applyAlignment="1" applyProtection="1">
      <alignment horizontal="center" vertical="center" wrapText="1"/>
      <protection locked="0"/>
    </xf>
    <xf numFmtId="0" fontId="54" fillId="0" borderId="0" xfId="0" applyFont="1" applyAlignment="1" applyProtection="1">
      <alignment horizontal="justify" vertical="top" wrapText="1"/>
    </xf>
    <xf numFmtId="0" fontId="36" fillId="0" borderId="18" xfId="0" applyFont="1" applyBorder="1" applyAlignment="1" applyProtection="1">
      <alignment horizontal="center" vertical="center" textRotation="255"/>
    </xf>
    <xf numFmtId="0" fontId="36" fillId="0" borderId="19" xfId="0" applyFont="1" applyBorder="1" applyAlignment="1" applyProtection="1">
      <alignment horizontal="center" vertical="center" textRotation="255"/>
    </xf>
    <xf numFmtId="0" fontId="36" fillId="0" borderId="20" xfId="0" applyFont="1" applyBorder="1" applyAlignment="1" applyProtection="1">
      <alignment horizontal="center" vertical="center" textRotation="255"/>
    </xf>
    <xf numFmtId="0" fontId="22" fillId="0" borderId="10" xfId="0" applyFont="1" applyBorder="1" applyAlignment="1" applyProtection="1">
      <alignment horizontal="center" vertical="center" wrapText="1"/>
    </xf>
    <xf numFmtId="0" fontId="23" fillId="0" borderId="16" xfId="0" applyFont="1" applyBorder="1" applyAlignment="1" applyProtection="1">
      <alignment horizontal="left"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0" fontId="19" fillId="0" borderId="18" xfId="0" applyFont="1" applyBorder="1" applyAlignment="1" applyProtection="1">
      <alignment horizontal="right" vertical="center"/>
    </xf>
    <xf numFmtId="0" fontId="19" fillId="0" borderId="19" xfId="0" applyFont="1" applyBorder="1" applyAlignment="1" applyProtection="1">
      <alignment horizontal="right" vertical="center"/>
    </xf>
    <xf numFmtId="0" fontId="19" fillId="0" borderId="20" xfId="0" applyFont="1" applyBorder="1" applyAlignment="1" applyProtection="1">
      <alignment horizontal="right" vertical="center"/>
    </xf>
    <xf numFmtId="0" fontId="24" fillId="0" borderId="12"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36" fillId="0" borderId="10" xfId="0" applyFont="1" applyBorder="1" applyAlignment="1" applyProtection="1">
      <alignment horizontal="center" vertical="center" textRotation="255"/>
    </xf>
    <xf numFmtId="177" fontId="26" fillId="33" borderId="18"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177" fontId="26" fillId="33" borderId="12" xfId="0" applyNumberFormat="1" applyFont="1" applyFill="1" applyBorder="1" applyAlignment="1" applyProtection="1">
      <alignment horizontal="center" vertical="center" wrapText="1"/>
    </xf>
    <xf numFmtId="177" fontId="26" fillId="33" borderId="14" xfId="0" applyNumberFormat="1" applyFont="1" applyFill="1" applyBorder="1" applyAlignment="1" applyProtection="1">
      <alignment horizontal="center" vertical="center" wrapText="1"/>
    </xf>
    <xf numFmtId="177" fontId="26" fillId="33" borderId="67" xfId="0" applyNumberFormat="1" applyFont="1" applyFill="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0" fontId="36" fillId="0" borderId="58" xfId="0" applyFont="1" applyFill="1" applyBorder="1" applyAlignment="1" applyProtection="1">
      <alignment horizontal="center" vertical="center" textRotation="255"/>
    </xf>
    <xf numFmtId="0" fontId="36" fillId="0" borderId="59" xfId="0" applyFont="1" applyFill="1" applyBorder="1" applyAlignment="1" applyProtection="1">
      <alignment horizontal="center" vertical="center" textRotation="255"/>
    </xf>
    <xf numFmtId="0" fontId="36" fillId="0" borderId="60"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1" xfId="0" applyNumberFormat="1" applyFont="1" applyBorder="1" applyAlignment="1" applyProtection="1">
      <alignment horizontal="center" vertical="center" wrapText="1"/>
    </xf>
    <xf numFmtId="0" fontId="26" fillId="0" borderId="62"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177" fontId="26" fillId="33" borderId="89" xfId="0" applyNumberFormat="1" applyFont="1" applyFill="1" applyBorder="1" applyAlignment="1" applyProtection="1">
      <alignment horizontal="center" vertical="center" wrapText="1"/>
    </xf>
    <xf numFmtId="177" fontId="26" fillId="33" borderId="25"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2" xfId="0" applyNumberFormat="1" applyFont="1" applyBorder="1" applyAlignment="1" applyProtection="1">
      <alignment horizontal="center" vertical="center" wrapText="1"/>
    </xf>
    <xf numFmtId="0" fontId="77" fillId="0" borderId="18" xfId="0" applyFont="1" applyBorder="1" applyAlignment="1" applyProtection="1">
      <alignment horizontal="left" wrapText="1"/>
    </xf>
    <xf numFmtId="0" fontId="77" fillId="0" borderId="19" xfId="0" applyFont="1" applyBorder="1" applyAlignment="1" applyProtection="1">
      <alignment horizontal="left" wrapText="1"/>
    </xf>
    <xf numFmtId="0" fontId="77" fillId="0" borderId="61" xfId="0" applyFont="1" applyBorder="1" applyAlignment="1" applyProtection="1">
      <alignment horizontal="left" wrapText="1"/>
    </xf>
    <xf numFmtId="0" fontId="54" fillId="0" borderId="97" xfId="0" applyFont="1" applyFill="1" applyBorder="1" applyAlignment="1" applyProtection="1">
      <alignment horizontal="left" vertical="center" wrapText="1"/>
    </xf>
    <xf numFmtId="0" fontId="54" fillId="0" borderId="63" xfId="0" applyFont="1" applyFill="1" applyBorder="1" applyAlignment="1" applyProtection="1">
      <alignment horizontal="left" vertical="center" wrapText="1"/>
    </xf>
    <xf numFmtId="0" fontId="54" fillId="0" borderId="64" xfId="0" applyFont="1" applyFill="1" applyBorder="1" applyAlignment="1" applyProtection="1">
      <alignment horizontal="left" vertical="center" wrapText="1"/>
    </xf>
    <xf numFmtId="0" fontId="54" fillId="0" borderId="10" xfId="0" applyFont="1" applyFill="1" applyBorder="1" applyAlignment="1" applyProtection="1">
      <alignment horizontal="left" vertical="center" wrapText="1"/>
    </xf>
    <xf numFmtId="0" fontId="54" fillId="0" borderId="42"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4" fillId="0" borderId="0" xfId="0" applyFont="1" applyBorder="1" applyAlignment="1" applyProtection="1">
      <alignment horizontal="right" vertical="center" wrapText="1"/>
    </xf>
    <xf numFmtId="0" fontId="24" fillId="0" borderId="0" xfId="0" applyFont="1" applyFill="1" applyBorder="1" applyAlignment="1" applyProtection="1">
      <alignment horizontal="left" vertical="center" shrinkToFi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0" fillId="0" borderId="0" xfId="0" applyFont="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36" fillId="0" borderId="25" xfId="0" applyFont="1" applyBorder="1" applyAlignment="1" applyProtection="1">
      <alignment horizontal="center" vertical="center" textRotation="255"/>
    </xf>
    <xf numFmtId="0" fontId="21" fillId="0" borderId="7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49" fontId="26" fillId="35" borderId="69" xfId="0" quotePrefix="1" applyNumberFormat="1" applyFont="1" applyFill="1" applyBorder="1" applyAlignment="1" applyProtection="1">
      <alignment horizontal="center" vertical="center" shrinkToFit="1"/>
      <protection locked="0"/>
    </xf>
    <xf numFmtId="49" fontId="26" fillId="35" borderId="98" xfId="0" applyNumberFormat="1" applyFont="1" applyFill="1" applyBorder="1" applyAlignment="1" applyProtection="1">
      <alignment horizontal="center" vertical="center" shrinkToFit="1"/>
      <protection locked="0"/>
    </xf>
    <xf numFmtId="0" fontId="23" fillId="35" borderId="30" xfId="0" applyFont="1" applyFill="1" applyBorder="1" applyAlignment="1" applyProtection="1">
      <alignment horizontal="center" vertical="center" wrapText="1"/>
      <protection locked="0"/>
    </xf>
    <xf numFmtId="0" fontId="23" fillId="35" borderId="54"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6" fillId="0" borderId="11"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49" fontId="26" fillId="35" borderId="69" xfId="0" applyNumberFormat="1" applyFont="1" applyFill="1" applyBorder="1" applyAlignment="1" applyProtection="1">
      <alignment horizontal="center" vertical="center" shrinkToFit="1"/>
      <protection locked="0"/>
    </xf>
    <xf numFmtId="177" fontId="26" fillId="33" borderId="19" xfId="0" applyNumberFormat="1" applyFont="1" applyFill="1" applyBorder="1" applyAlignment="1" applyProtection="1">
      <alignment horizontal="center" vertical="center" wrapText="1"/>
    </xf>
    <xf numFmtId="0" fontId="29" fillId="35" borderId="71" xfId="0" applyFont="1" applyFill="1" applyBorder="1" applyAlignment="1" applyProtection="1">
      <alignment horizontal="center" vertical="center" wrapText="1"/>
      <protection locked="0"/>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69" fillId="0" borderId="0" xfId="0" applyFont="1" applyAlignment="1" applyProtection="1">
      <alignment horizontal="center" vertical="center"/>
    </xf>
    <xf numFmtId="58" fontId="70" fillId="0" borderId="0" xfId="0" applyNumberFormat="1" applyFont="1" applyFill="1" applyBorder="1" applyAlignment="1" applyProtection="1">
      <alignment horizontal="right" vertical="center" indent="1"/>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Alignment="1" applyProtection="1">
      <alignment horizontal="left" indent="7"/>
    </xf>
    <xf numFmtId="0" fontId="71" fillId="0" borderId="0" xfId="0" applyFont="1" applyFill="1" applyAlignment="1" applyProtection="1">
      <alignment horizontal="left" shrinkToFit="1"/>
    </xf>
    <xf numFmtId="176" fontId="26" fillId="0" borderId="18" xfId="0" applyNumberFormat="1" applyFont="1" applyFill="1" applyBorder="1" applyAlignment="1" applyProtection="1">
      <alignment horizontal="center" vertical="center" wrapText="1"/>
    </xf>
    <xf numFmtId="176" fontId="26" fillId="0" borderId="19" xfId="0" applyNumberFormat="1" applyFont="1" applyFill="1" applyBorder="1" applyAlignment="1" applyProtection="1">
      <alignment horizontal="center" vertical="center" wrapText="1"/>
    </xf>
    <xf numFmtId="176" fontId="26" fillId="0" borderId="20" xfId="0" applyNumberFormat="1" applyFont="1" applyFill="1" applyBorder="1" applyAlignment="1" applyProtection="1">
      <alignment horizontal="center" vertical="center" wrapText="1"/>
    </xf>
    <xf numFmtId="0" fontId="54" fillId="0" borderId="11" xfId="0" applyFont="1" applyFill="1" applyBorder="1" applyAlignment="1" applyProtection="1">
      <alignment horizontal="left" vertical="center" wrapText="1"/>
    </xf>
    <xf numFmtId="0" fontId="23" fillId="0" borderId="17" xfId="0" applyFont="1" applyFill="1" applyBorder="1" applyAlignment="1" applyProtection="1">
      <alignment horizontal="left" vertical="center" wrapText="1"/>
    </xf>
    <xf numFmtId="0" fontId="23" fillId="0" borderId="74" xfId="0" applyFont="1" applyFill="1" applyBorder="1" applyAlignment="1" applyProtection="1">
      <alignment horizontal="left" vertical="center" wrapText="1"/>
    </xf>
    <xf numFmtId="180" fontId="19" fillId="36" borderId="48" xfId="0" applyNumberFormat="1" applyFont="1" applyFill="1" applyBorder="1" applyAlignment="1" applyProtection="1">
      <alignment horizontal="center" vertical="center"/>
    </xf>
    <xf numFmtId="180" fontId="19" fillId="36" borderId="44" xfId="0" applyNumberFormat="1" applyFont="1" applyFill="1" applyBorder="1" applyAlignment="1" applyProtection="1">
      <alignment horizontal="center" vertical="center"/>
    </xf>
    <xf numFmtId="180" fontId="19" fillId="36" borderId="45" xfId="0" applyNumberFormat="1" applyFont="1" applyFill="1" applyBorder="1" applyAlignment="1" applyProtection="1">
      <alignment horizontal="center" vertical="center"/>
    </xf>
    <xf numFmtId="0" fontId="71" fillId="0" borderId="0" xfId="0" applyFont="1" applyAlignment="1" applyProtection="1">
      <alignment horizontal="left" vertical="center" indent="7"/>
    </xf>
    <xf numFmtId="0" fontId="71" fillId="0" borderId="0" xfId="0" applyFont="1" applyAlignment="1" applyProtection="1">
      <alignment horizontal="left" vertical="top" indent="7"/>
    </xf>
    <xf numFmtId="184" fontId="71" fillId="0" borderId="0" xfId="0" applyNumberFormat="1" applyFont="1" applyFill="1" applyAlignment="1" applyProtection="1">
      <alignment horizontal="left" vertical="top" shrinkToFit="1"/>
    </xf>
    <xf numFmtId="0" fontId="70" fillId="0" borderId="0" xfId="0" applyFont="1" applyAlignment="1" applyProtection="1">
      <alignment horizontal="left" vertical="top" wrapText="1"/>
    </xf>
    <xf numFmtId="0" fontId="26" fillId="0" borderId="18" xfId="0" applyFont="1" applyBorder="1" applyAlignment="1" applyProtection="1">
      <alignment horizontal="left" vertical="center" wrapText="1"/>
    </xf>
    <xf numFmtId="0" fontId="26" fillId="0" borderId="109" xfId="0" applyFont="1" applyBorder="1" applyAlignment="1" applyProtection="1">
      <alignment horizontal="left" vertical="center" wrapText="1"/>
    </xf>
    <xf numFmtId="0" fontId="54" fillId="0" borderId="12" xfId="0" applyFont="1" applyBorder="1" applyAlignment="1" applyProtection="1">
      <alignment horizontal="left" vertical="center"/>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54" fillId="0" borderId="0" xfId="0" applyFont="1" applyAlignment="1" applyProtection="1">
      <alignment horizontal="left" vertical="top" wrapText="1"/>
    </xf>
    <xf numFmtId="0" fontId="53" fillId="0" borderId="75" xfId="0" applyFont="1" applyBorder="1" applyAlignment="1" applyProtection="1">
      <alignment horizontal="center" vertical="center"/>
    </xf>
    <xf numFmtId="0" fontId="53" fillId="0" borderId="56" xfId="0" applyFont="1" applyBorder="1" applyAlignment="1" applyProtection="1">
      <alignment horizontal="center" vertical="center"/>
    </xf>
    <xf numFmtId="0" fontId="53" fillId="0" borderId="57" xfId="0" applyFont="1" applyBorder="1" applyAlignment="1" applyProtection="1">
      <alignment horizontal="center" vertical="center"/>
    </xf>
    <xf numFmtId="0" fontId="24" fillId="0" borderId="24"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114300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693420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792480</xdr:colOff>
          <xdr:row>5</xdr:row>
          <xdr:rowOff>327660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99060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1760220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121920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327660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12700</xdr:colOff>
      <xdr:row>23</xdr:row>
      <xdr:rowOff>38100</xdr:rowOff>
    </xdr:from>
    <xdr:to>
      <xdr:col>5</xdr:col>
      <xdr:colOff>2836719</xdr:colOff>
      <xdr:row>50</xdr:row>
      <xdr:rowOff>150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52400" y="8420100"/>
          <a:ext cx="7942119" cy="48642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＜様式第１１号－２に関する記載留意事項＞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6</xdr:col>
      <xdr:colOff>673100</xdr:colOff>
      <xdr:row>17</xdr:row>
      <xdr:rowOff>114300</xdr:rowOff>
    </xdr:from>
    <xdr:to>
      <xdr:col>11</xdr:col>
      <xdr:colOff>984625</xdr:colOff>
      <xdr:row>43</xdr:row>
      <xdr:rowOff>0</xdr:rowOff>
    </xdr:to>
    <xdr:sp macro="" textlink="">
      <xdr:nvSpPr>
        <xdr:cNvPr id="21" name="テキスト ボックス 20"/>
        <xdr:cNvSpPr txBox="1"/>
      </xdr:nvSpPr>
      <xdr:spPr>
        <a:xfrm>
          <a:off x="8940800" y="62103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198740</xdr:colOff>
      <xdr:row>46</xdr:row>
      <xdr:rowOff>97971</xdr:rowOff>
    </xdr:from>
    <xdr:to>
      <xdr:col>30</xdr:col>
      <xdr:colOff>459319</xdr:colOff>
      <xdr:row>46</xdr:row>
      <xdr:rowOff>361798</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1530769" y="13563600"/>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列以降は、計算用なので絶対に触らないこと。</a:t>
          </a:r>
        </a:p>
      </xdr:txBody>
    </xdr:sp>
    <xdr:clientData/>
  </xdr:twoCellAnchor>
  <xdr:twoCellAnchor>
    <xdr:from>
      <xdr:col>19</xdr:col>
      <xdr:colOff>97972</xdr:colOff>
      <xdr:row>47</xdr:row>
      <xdr:rowOff>54428</xdr:rowOff>
    </xdr:from>
    <xdr:to>
      <xdr:col>24</xdr:col>
      <xdr:colOff>390072</xdr:colOff>
      <xdr:row>50</xdr:row>
      <xdr:rowOff>156028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469086" y="751114"/>
          <a:ext cx="4940300" cy="689428"/>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様式第１１号－２を入力するようにしてください。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３．様式第１１号－２が正しく入力、選択されているか確認して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様式第１号、様式第１１号－２に表示される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J37"/>
  <sheetViews>
    <sheetView showGridLines="0" tabSelected="1" view="pageBreakPreview" zoomScale="60" zoomScaleNormal="60" workbookViewId="0">
      <selection activeCell="D17" sqref="D17:E17"/>
    </sheetView>
  </sheetViews>
  <sheetFormatPr defaultColWidth="8.88671875" defaultRowHeight="13.2" x14ac:dyDescent="0.2"/>
  <cols>
    <col min="1" max="2" width="2" style="76" customWidth="1"/>
    <col min="3" max="3" width="29.77734375" style="76" customWidth="1"/>
    <col min="4" max="5" width="22.33203125" style="76" customWidth="1"/>
    <col min="6" max="6" width="41.77734375" style="76" customWidth="1"/>
    <col min="7" max="7" width="10.44140625" style="76" customWidth="1"/>
    <col min="8" max="8" width="39.44140625" style="76" customWidth="1"/>
    <col min="9" max="9" width="15.109375" style="76" customWidth="1"/>
    <col min="10" max="10" width="17.21875" style="76" customWidth="1"/>
    <col min="11" max="11" width="13.33203125" style="76" customWidth="1"/>
    <col min="12" max="12" width="15.33203125" style="76" customWidth="1"/>
    <col min="13" max="14" width="9.88671875" style="76" customWidth="1"/>
    <col min="15" max="15" width="27.44140625" style="76" customWidth="1"/>
    <col min="16" max="16" width="8.88671875" style="76"/>
    <col min="17" max="17" width="16.88671875" style="76" bestFit="1" customWidth="1"/>
    <col min="18" max="16384" width="8.88671875" style="76"/>
  </cols>
  <sheetData>
    <row r="1" spans="3:10" ht="19.95" customHeight="1" x14ac:dyDescent="0.2">
      <c r="C1" s="302" t="s">
        <v>273</v>
      </c>
      <c r="D1" s="302"/>
      <c r="E1" s="302"/>
      <c r="F1" s="302"/>
      <c r="H1" s="76" t="s">
        <v>388</v>
      </c>
    </row>
    <row r="2" spans="3:10" ht="19.95" customHeight="1" x14ac:dyDescent="0.2">
      <c r="C2" s="154" t="s">
        <v>297</v>
      </c>
    </row>
    <row r="3" spans="3:10" ht="19.95" customHeight="1" x14ac:dyDescent="0.2">
      <c r="C3" s="155" t="s">
        <v>321</v>
      </c>
    </row>
    <row r="4" spans="3:10" ht="30" customHeight="1" x14ac:dyDescent="0.2">
      <c r="C4" s="156" t="s">
        <v>298</v>
      </c>
      <c r="D4" s="307" t="s">
        <v>324</v>
      </c>
      <c r="E4" s="308"/>
      <c r="F4" s="156" t="s">
        <v>299</v>
      </c>
      <c r="H4" s="178" t="s">
        <v>322</v>
      </c>
    </row>
    <row r="5" spans="3:10" ht="30" customHeight="1" x14ac:dyDescent="0.2">
      <c r="C5" s="158" t="s">
        <v>300</v>
      </c>
      <c r="D5" s="303" t="s">
        <v>315</v>
      </c>
      <c r="E5" s="304"/>
      <c r="F5" s="157"/>
      <c r="H5" s="139" t="str">
        <f>D5</f>
        <v>令和○年○月○日</v>
      </c>
    </row>
    <row r="6" spans="3:10" ht="30" customHeight="1" x14ac:dyDescent="0.2">
      <c r="C6" s="158" t="s">
        <v>294</v>
      </c>
      <c r="D6" s="315" t="s">
        <v>316</v>
      </c>
      <c r="E6" s="316"/>
      <c r="F6" s="158"/>
      <c r="H6" s="141" t="str">
        <f t="shared" ref="H6:H9" si="0">D6</f>
        <v>○○市○○町○○番地</v>
      </c>
    </row>
    <row r="7" spans="3:10" ht="30" customHeight="1" x14ac:dyDescent="0.2">
      <c r="C7" s="158" t="s">
        <v>295</v>
      </c>
      <c r="D7" s="317" t="s">
        <v>317</v>
      </c>
      <c r="E7" s="318"/>
      <c r="F7" s="158"/>
      <c r="H7" s="141" t="str">
        <f t="shared" si="0"/>
        <v>株式会社○○○○</v>
      </c>
    </row>
    <row r="8" spans="3:10" ht="30" customHeight="1" x14ac:dyDescent="0.2">
      <c r="C8" s="158" t="s">
        <v>301</v>
      </c>
      <c r="D8" s="315" t="s">
        <v>318</v>
      </c>
      <c r="E8" s="316"/>
      <c r="F8" s="158"/>
      <c r="H8" s="141" t="str">
        <f t="shared" si="0"/>
        <v>代表取締役　○○○○</v>
      </c>
    </row>
    <row r="9" spans="3:10" ht="30" customHeight="1" x14ac:dyDescent="0.2">
      <c r="C9" s="158" t="s">
        <v>302</v>
      </c>
      <c r="D9" s="315" t="s">
        <v>319</v>
      </c>
      <c r="E9" s="316"/>
      <c r="F9" s="158"/>
      <c r="H9" s="141" t="str">
        <f t="shared" si="0"/>
        <v>000-000-0000</v>
      </c>
    </row>
    <row r="10" spans="3:10" ht="30" customHeight="1" x14ac:dyDescent="0.2">
      <c r="C10" s="158" t="s">
        <v>303</v>
      </c>
      <c r="D10" s="315" t="s">
        <v>320</v>
      </c>
      <c r="E10" s="316"/>
      <c r="F10" s="158"/>
      <c r="H10" s="141" t="str">
        <f>D10</f>
        <v>○○○○</v>
      </c>
    </row>
    <row r="11" spans="3:10" ht="30" customHeight="1" x14ac:dyDescent="0.2">
      <c r="C11" s="158"/>
      <c r="D11" s="315"/>
      <c r="E11" s="316"/>
      <c r="F11" s="227"/>
      <c r="H11" s="141">
        <f>D11</f>
        <v>0</v>
      </c>
    </row>
    <row r="12" spans="3:10" s="135" customFormat="1" ht="30" customHeight="1" x14ac:dyDescent="0.2">
      <c r="C12" s="156" t="s">
        <v>304</v>
      </c>
      <c r="D12" s="307" t="s">
        <v>325</v>
      </c>
      <c r="E12" s="308"/>
      <c r="F12" s="156" t="s">
        <v>136</v>
      </c>
      <c r="H12" s="178" t="s">
        <v>323</v>
      </c>
    </row>
    <row r="13" spans="3:10" s="136" customFormat="1" ht="30" customHeight="1" x14ac:dyDescent="0.2">
      <c r="C13" s="137" t="s">
        <v>135</v>
      </c>
      <c r="D13" s="303" t="s">
        <v>315</v>
      </c>
      <c r="E13" s="304"/>
      <c r="F13" s="159" t="s">
        <v>384</v>
      </c>
      <c r="G13" s="138"/>
      <c r="H13" s="139" t="str">
        <f>D13</f>
        <v>令和○年○月○日</v>
      </c>
      <c r="I13" s="140"/>
      <c r="J13" s="140"/>
    </row>
    <row r="14" spans="3:10" s="136" customFormat="1" ht="30" customHeight="1" x14ac:dyDescent="0.2">
      <c r="C14" s="137" t="s">
        <v>133</v>
      </c>
      <c r="D14" s="305" t="s">
        <v>313</v>
      </c>
      <c r="E14" s="306"/>
      <c r="F14" s="159" t="s">
        <v>383</v>
      </c>
      <c r="G14" s="138"/>
      <c r="H14" s="141" t="str">
        <f t="shared" ref="H14:H15" si="1">D14</f>
        <v xml:space="preserve">第○○-○○○○○-○○○○号 </v>
      </c>
      <c r="I14" s="140"/>
      <c r="J14" s="140"/>
    </row>
    <row r="15" spans="3:10" s="136" customFormat="1" ht="30" customHeight="1" x14ac:dyDescent="0.2">
      <c r="C15" s="144" t="s">
        <v>134</v>
      </c>
      <c r="D15" s="311" t="s">
        <v>314</v>
      </c>
      <c r="E15" s="312"/>
      <c r="F15" s="141" t="s">
        <v>382</v>
      </c>
      <c r="G15" s="138"/>
      <c r="H15" s="141" t="str">
        <f t="shared" si="1"/>
        <v>○○○○○○○○○○○○工事</v>
      </c>
      <c r="I15" s="140"/>
      <c r="J15" s="140"/>
    </row>
    <row r="16" spans="3:10" s="135" customFormat="1" ht="30" customHeight="1" x14ac:dyDescent="0.2">
      <c r="C16" s="142" t="s">
        <v>244</v>
      </c>
      <c r="D16" s="309" t="s">
        <v>173</v>
      </c>
      <c r="E16" s="310"/>
      <c r="F16" s="179" t="s">
        <v>140</v>
      </c>
      <c r="H16" s="143">
        <f>IF(OR(D16="一般土木工事",D16="舗装工事"),1,IF(OR(D16="建築工事",D16="電気設備工事",D16="暖冷房衛生設備工事"),2,10))</f>
        <v>10</v>
      </c>
      <c r="I16" s="271" t="s">
        <v>381</v>
      </c>
    </row>
    <row r="17" spans="3:9" s="135" customFormat="1" ht="30" customHeight="1" x14ac:dyDescent="0.2">
      <c r="C17" s="144" t="s">
        <v>197</v>
      </c>
      <c r="D17" s="313"/>
      <c r="E17" s="314"/>
      <c r="F17" s="179"/>
      <c r="H17" s="143" t="e">
        <f>VLOOKUP(D17,リスト2!G3:I6,3,FALSE)</f>
        <v>#N/A</v>
      </c>
      <c r="I17" s="135" t="s">
        <v>237</v>
      </c>
    </row>
    <row r="18" spans="3:9" s="135" customFormat="1" ht="30" customHeight="1" x14ac:dyDescent="0.2">
      <c r="C18" s="300" t="s">
        <v>296</v>
      </c>
      <c r="D18" s="145" t="s">
        <v>123</v>
      </c>
      <c r="E18" s="145" t="s">
        <v>129</v>
      </c>
      <c r="F18" s="300" t="s">
        <v>196</v>
      </c>
    </row>
    <row r="19" spans="3:9" s="135" customFormat="1" ht="30" customHeight="1" x14ac:dyDescent="0.2">
      <c r="C19" s="301"/>
      <c r="D19" s="146" t="s">
        <v>173</v>
      </c>
      <c r="E19" s="146" t="s">
        <v>173</v>
      </c>
      <c r="F19" s="301"/>
    </row>
    <row r="20" spans="3:9" s="135" customFormat="1" ht="30" customHeight="1" x14ac:dyDescent="0.2">
      <c r="C20" s="147" t="s">
        <v>131</v>
      </c>
      <c r="D20" s="148" t="str">
        <f>VLOOKUP(D19,リスト2!$C$3:$E$64,2,FALSE)</f>
        <v>-</v>
      </c>
      <c r="E20" s="148" t="str">
        <f>VLOOKUP(E19,リスト2!$C$3:$E$64,2,FALSE)</f>
        <v>-</v>
      </c>
      <c r="F20" s="148" t="s">
        <v>243</v>
      </c>
    </row>
    <row r="21" spans="3:9" s="135" customFormat="1" ht="30" customHeight="1" x14ac:dyDescent="0.2">
      <c r="C21" s="147" t="s">
        <v>132</v>
      </c>
      <c r="D21" s="148" t="str">
        <f>VLOOKUP(D19,リスト2!$C$3:$E$64,3,FALSE)</f>
        <v>-</v>
      </c>
      <c r="E21" s="148" t="str">
        <f>VLOOKUP(E19,リスト2!$C$3:$E$64,3,FALSE)</f>
        <v>-</v>
      </c>
      <c r="F21" s="148" t="s">
        <v>130</v>
      </c>
    </row>
    <row r="22" spans="3:9" s="135" customFormat="1" ht="30" customHeight="1" x14ac:dyDescent="0.2">
      <c r="F22" s="149" t="s">
        <v>242</v>
      </c>
    </row>
    <row r="23" spans="3:9" s="135" customFormat="1" ht="30" customHeight="1" x14ac:dyDescent="0.2">
      <c r="C23" s="148" t="s">
        <v>127</v>
      </c>
      <c r="D23" s="150" t="e">
        <f>'2.様式第1号、第11号-2(地域密着型)'!V47</f>
        <v>#N/A</v>
      </c>
      <c r="E23" s="148" t="s">
        <v>128</v>
      </c>
      <c r="F23" s="160" t="s">
        <v>305</v>
      </c>
    </row>
    <row r="24" spans="3:9" s="135" customFormat="1" ht="20.100000000000001" customHeight="1" x14ac:dyDescent="0.2">
      <c r="C24" s="151"/>
      <c r="D24" s="152"/>
      <c r="E24" s="151"/>
      <c r="F24" s="153"/>
    </row>
    <row r="25" spans="3:9" s="135" customFormat="1" ht="20.100000000000001" customHeight="1" x14ac:dyDescent="0.2">
      <c r="C25" s="151"/>
      <c r="D25" s="152"/>
      <c r="E25" s="151"/>
      <c r="F25" s="153"/>
    </row>
    <row r="26" spans="3:9" s="135" customFormat="1" ht="20.100000000000001" customHeight="1" x14ac:dyDescent="0.2">
      <c r="C26" s="151"/>
      <c r="D26" s="152"/>
      <c r="E26" s="151"/>
      <c r="F26" s="153"/>
    </row>
    <row r="27" spans="3:9" s="135" customFormat="1" ht="20.100000000000001" customHeight="1" x14ac:dyDescent="0.2">
      <c r="C27" s="151"/>
      <c r="D27" s="152"/>
      <c r="E27" s="151"/>
      <c r="F27" s="153"/>
    </row>
    <row r="28" spans="3:9" s="135" customFormat="1" ht="20.100000000000001" customHeight="1" x14ac:dyDescent="0.2"/>
    <row r="29" spans="3:9" s="135" customFormat="1" x14ac:dyDescent="0.2"/>
    <row r="30" spans="3:9" s="135" customFormat="1" x14ac:dyDescent="0.2"/>
    <row r="31" spans="3:9" s="135" customFormat="1" x14ac:dyDescent="0.2"/>
    <row r="32" spans="3:9" s="135" customFormat="1" x14ac:dyDescent="0.2"/>
    <row r="33" s="135" customFormat="1" x14ac:dyDescent="0.2"/>
    <row r="34" s="135" customFormat="1" x14ac:dyDescent="0.2"/>
    <row r="35" s="135" customFormat="1" x14ac:dyDescent="0.2"/>
    <row r="36" s="135" customFormat="1" x14ac:dyDescent="0.2"/>
    <row r="37" s="135" customFormat="1" x14ac:dyDescent="0.2"/>
  </sheetData>
  <sheetProtection password="F450" sheet="1" objects="1" scenarios="1"/>
  <mergeCells count="17">
    <mergeCell ref="D11:E11"/>
    <mergeCell ref="F18:F19"/>
    <mergeCell ref="C1:F1"/>
    <mergeCell ref="C18:C19"/>
    <mergeCell ref="D13:E13"/>
    <mergeCell ref="D14:E14"/>
    <mergeCell ref="D12:E12"/>
    <mergeCell ref="D16:E16"/>
    <mergeCell ref="D15:E15"/>
    <mergeCell ref="D17:E17"/>
    <mergeCell ref="D4:E4"/>
    <mergeCell ref="D5:E5"/>
    <mergeCell ref="D6:E6"/>
    <mergeCell ref="D7:E7"/>
    <mergeCell ref="D8:E8"/>
    <mergeCell ref="D9:E9"/>
    <mergeCell ref="D10:E10"/>
  </mergeCells>
  <phoneticPr fontId="34"/>
  <printOptions horizontalCentered="1"/>
  <pageMargins left="0.59055118110236227" right="0.59055118110236227" top="0.59055118110236227"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114300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693420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792480</xdr:colOff>
                    <xdr:row>5</xdr:row>
                    <xdr:rowOff>327660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121920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327660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1760220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リスト!$H$4:$H$9</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7"/>
  <sheetViews>
    <sheetView showGridLines="0" view="pageBreakPreview" zoomScale="55" zoomScaleNormal="60" zoomScaleSheetLayoutView="55" workbookViewId="0">
      <selection activeCell="O66" sqref="O66:P66"/>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77734375" style="27" customWidth="1"/>
    <col min="8" max="8" width="4.44140625" style="27" customWidth="1"/>
    <col min="9" max="9" width="3.77734375" style="27" customWidth="1"/>
    <col min="10" max="10" width="4.33203125" style="27" customWidth="1"/>
    <col min="11" max="12" width="3.77734375" style="27" customWidth="1"/>
    <col min="13" max="13" width="3.33203125" style="27" customWidth="1"/>
    <col min="14" max="17" width="3.77734375" style="27" customWidth="1"/>
    <col min="18" max="18" width="11.88671875" style="27" customWidth="1"/>
    <col min="19" max="19" width="15.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8.88671875" style="27"/>
    <col min="45" max="45" width="12.33203125" style="27" customWidth="1"/>
    <col min="46" max="16384" width="8.88671875" style="27"/>
  </cols>
  <sheetData>
    <row r="1" spans="1:19" ht="15" customHeight="1" x14ac:dyDescent="0.2">
      <c r="S1" s="228" t="str">
        <f>'1.基本データ(このシートは削除しないこと！)'!H1</f>
        <v>令和６年度様式（令和６年４月１日以降の入札公告から適用）</v>
      </c>
    </row>
    <row r="2" spans="1:19" s="229" customFormat="1" ht="15" customHeight="1" x14ac:dyDescent="0.2"/>
    <row r="3" spans="1:19" s="229" customFormat="1" ht="15" customHeight="1" x14ac:dyDescent="0.2"/>
    <row r="4" spans="1:19" s="229" customFormat="1" ht="19.95" customHeight="1" x14ac:dyDescent="0.2">
      <c r="C4" s="230" t="s">
        <v>359</v>
      </c>
    </row>
    <row r="5" spans="1:19" s="229" customFormat="1" ht="38.4" customHeight="1" x14ac:dyDescent="0.2">
      <c r="A5" s="506" t="s">
        <v>360</v>
      </c>
      <c r="B5" s="506"/>
      <c r="C5" s="506"/>
      <c r="D5" s="506"/>
      <c r="E5" s="506"/>
      <c r="F5" s="506"/>
      <c r="G5" s="506"/>
      <c r="H5" s="506"/>
      <c r="I5" s="506"/>
      <c r="J5" s="506"/>
      <c r="K5" s="506"/>
      <c r="L5" s="506"/>
      <c r="M5" s="506"/>
      <c r="N5" s="506"/>
      <c r="O5" s="506"/>
      <c r="P5" s="506"/>
      <c r="Q5" s="506"/>
      <c r="R5" s="506"/>
      <c r="S5" s="506"/>
    </row>
    <row r="6" spans="1:19" s="229" customFormat="1" ht="19.95" customHeight="1" x14ac:dyDescent="0.2">
      <c r="A6" s="187"/>
      <c r="B6" s="231"/>
      <c r="C6" s="230"/>
      <c r="D6" s="230"/>
      <c r="E6" s="230"/>
      <c r="F6" s="230"/>
      <c r="G6" s="230"/>
      <c r="H6" s="230"/>
      <c r="I6" s="230"/>
      <c r="J6" s="230"/>
      <c r="K6" s="230"/>
      <c r="L6" s="230"/>
      <c r="M6" s="230"/>
      <c r="N6" s="230"/>
      <c r="O6" s="232"/>
      <c r="P6" s="232"/>
      <c r="Q6" s="507"/>
      <c r="R6" s="507"/>
      <c r="S6" s="507"/>
    </row>
    <row r="7" spans="1:19" s="229" customFormat="1" ht="19.95" customHeight="1" x14ac:dyDescent="0.2">
      <c r="A7" s="188"/>
      <c r="B7" s="233"/>
      <c r="C7" s="231"/>
      <c r="D7" s="231"/>
      <c r="E7" s="230"/>
      <c r="F7" s="230"/>
      <c r="G7" s="230"/>
      <c r="H7" s="230"/>
      <c r="I7" s="230"/>
      <c r="J7" s="230"/>
      <c r="K7" s="230"/>
      <c r="L7" s="230"/>
      <c r="M7" s="230"/>
      <c r="N7" s="230"/>
      <c r="O7" s="230"/>
      <c r="P7" s="230"/>
      <c r="Q7" s="230"/>
      <c r="R7" s="230"/>
      <c r="S7" s="230"/>
    </row>
    <row r="8" spans="1:19" s="229" customFormat="1" ht="19.95" customHeight="1" x14ac:dyDescent="0.2">
      <c r="B8" s="234"/>
      <c r="C8" s="234" t="s">
        <v>16</v>
      </c>
      <c r="D8" s="234"/>
      <c r="E8" s="230"/>
      <c r="F8" s="230"/>
      <c r="G8" s="230"/>
      <c r="H8" s="230"/>
      <c r="I8" s="230"/>
      <c r="J8" s="230"/>
      <c r="K8" s="230"/>
      <c r="L8" s="230"/>
      <c r="M8" s="230"/>
      <c r="N8" s="230"/>
      <c r="O8" s="230"/>
      <c r="P8" s="230"/>
      <c r="Q8" s="230"/>
      <c r="R8" s="230"/>
      <c r="S8" s="230"/>
    </row>
    <row r="9" spans="1:19" s="229" customFormat="1" ht="19.95" customHeight="1" x14ac:dyDescent="0.2">
      <c r="A9" s="188"/>
      <c r="B9" s="233"/>
      <c r="C9" s="231"/>
      <c r="D9" s="231"/>
      <c r="E9" s="230"/>
      <c r="F9" s="230"/>
      <c r="G9" s="230"/>
      <c r="H9" s="230"/>
      <c r="I9" s="230"/>
      <c r="J9" s="230"/>
      <c r="K9" s="230"/>
      <c r="L9" s="230"/>
      <c r="M9" s="230"/>
      <c r="N9" s="230"/>
      <c r="O9" s="230"/>
      <c r="P9" s="230"/>
      <c r="Q9" s="230"/>
      <c r="R9" s="230"/>
      <c r="S9" s="230"/>
    </row>
    <row r="10" spans="1:19" s="229" customFormat="1" ht="25.05" customHeight="1" x14ac:dyDescent="0.2">
      <c r="A10" s="188"/>
      <c r="B10" s="231"/>
      <c r="C10" s="230"/>
      <c r="D10" s="230"/>
      <c r="E10" s="230"/>
      <c r="F10" s="230"/>
      <c r="G10" s="230"/>
      <c r="H10" s="230"/>
      <c r="I10" s="230"/>
      <c r="J10" s="230"/>
      <c r="K10" s="230"/>
      <c r="L10" s="508" t="str">
        <f>IF('1.基本データ(このシートは削除しないこと！)'!H11=0,"",'1.基本データ(このシートは削除しないこと！)'!H11)</f>
        <v/>
      </c>
      <c r="M10" s="508"/>
      <c r="N10" s="508"/>
      <c r="O10" s="508"/>
      <c r="P10" s="508"/>
      <c r="Q10" s="508"/>
      <c r="R10" s="508"/>
      <c r="S10" s="508"/>
    </row>
    <row r="11" spans="1:19" s="229" customFormat="1" ht="25.05" customHeight="1" x14ac:dyDescent="0.2">
      <c r="B11" s="230"/>
      <c r="C11" s="230"/>
      <c r="D11" s="230"/>
      <c r="E11" s="230"/>
      <c r="F11" s="230"/>
      <c r="G11" s="230"/>
      <c r="H11" s="230"/>
      <c r="I11" s="230"/>
      <c r="J11" s="230"/>
      <c r="K11" s="235" t="str">
        <f>IF('1.基本データ(このシートは削除しないこと！)'!H11=0," ","代表構成員")</f>
        <v xml:space="preserve"> </v>
      </c>
      <c r="L11" s="509" t="str">
        <f>'1.基本データ(このシートは削除しないこと！)'!H6</f>
        <v>○○市○○町○○番地</v>
      </c>
      <c r="M11" s="509"/>
      <c r="N11" s="509"/>
      <c r="O11" s="509"/>
      <c r="P11" s="509"/>
      <c r="Q11" s="509"/>
      <c r="R11" s="509"/>
      <c r="S11" s="509"/>
    </row>
    <row r="12" spans="1:19" s="229" customFormat="1" ht="25.05" customHeight="1" x14ac:dyDescent="0.25">
      <c r="A12" s="187"/>
      <c r="B12" s="230"/>
      <c r="C12" s="230"/>
      <c r="D12" s="230"/>
      <c r="E12" s="230"/>
      <c r="F12" s="230"/>
      <c r="G12" s="510" t="s">
        <v>361</v>
      </c>
      <c r="H12" s="510"/>
      <c r="I12" s="510"/>
      <c r="J12" s="510"/>
      <c r="K12" s="510"/>
      <c r="L12" s="509"/>
      <c r="M12" s="509"/>
      <c r="N12" s="509"/>
      <c r="O12" s="509"/>
      <c r="P12" s="509"/>
      <c r="Q12" s="509"/>
      <c r="R12" s="509"/>
      <c r="S12" s="509"/>
    </row>
    <row r="13" spans="1:19" s="229" customFormat="1" ht="25.05" customHeight="1" x14ac:dyDescent="0.25">
      <c r="A13" s="187"/>
      <c r="B13" s="230"/>
      <c r="C13" s="230"/>
      <c r="D13" s="230"/>
      <c r="E13" s="230"/>
      <c r="F13" s="230"/>
      <c r="G13" s="510" t="s">
        <v>7</v>
      </c>
      <c r="H13" s="510"/>
      <c r="I13" s="510"/>
      <c r="J13" s="510"/>
      <c r="K13" s="510"/>
      <c r="L13" s="511" t="str">
        <f>'1.基本データ(このシートは削除しないこと！)'!H7</f>
        <v>株式会社○○○○</v>
      </c>
      <c r="M13" s="511"/>
      <c r="N13" s="511"/>
      <c r="O13" s="511"/>
      <c r="P13" s="511"/>
      <c r="Q13" s="511"/>
      <c r="R13" s="511"/>
      <c r="S13" s="511"/>
    </row>
    <row r="14" spans="1:19" s="229" customFormat="1" ht="25.05" customHeight="1" x14ac:dyDescent="0.25">
      <c r="A14" s="187"/>
      <c r="B14" s="230"/>
      <c r="C14" s="230"/>
      <c r="D14" s="230"/>
      <c r="E14" s="230"/>
      <c r="F14" s="230"/>
      <c r="G14" s="510" t="s">
        <v>14</v>
      </c>
      <c r="H14" s="510"/>
      <c r="I14" s="510"/>
      <c r="J14" s="510"/>
      <c r="K14" s="510"/>
      <c r="L14" s="511" t="str">
        <f>'1.基本データ(このシートは削除しないこと！)'!H8</f>
        <v>代表取締役　○○○○</v>
      </c>
      <c r="M14" s="511"/>
      <c r="N14" s="511"/>
      <c r="O14" s="511"/>
      <c r="P14" s="511"/>
      <c r="Q14" s="511"/>
      <c r="R14" s="511"/>
      <c r="S14" s="511"/>
    </row>
    <row r="15" spans="1:19" s="229" customFormat="1" ht="25.05" customHeight="1" x14ac:dyDescent="0.2">
      <c r="A15" s="187"/>
      <c r="B15" s="236"/>
      <c r="C15" s="237"/>
      <c r="D15" s="231"/>
      <c r="E15" s="230"/>
      <c r="F15" s="230"/>
      <c r="G15" s="238"/>
      <c r="H15" s="238"/>
      <c r="I15" s="238"/>
      <c r="J15" s="238"/>
      <c r="K15" s="238"/>
      <c r="L15" s="238"/>
      <c r="M15" s="238"/>
      <c r="N15" s="238"/>
      <c r="O15" s="238"/>
      <c r="P15" s="238"/>
      <c r="Q15" s="238"/>
      <c r="R15" s="238"/>
      <c r="S15" s="238"/>
    </row>
    <row r="16" spans="1:19" s="229" customFormat="1" ht="25.05" customHeight="1" x14ac:dyDescent="0.2">
      <c r="A16" s="187"/>
      <c r="B16" s="230"/>
      <c r="C16" s="230"/>
      <c r="D16" s="231"/>
      <c r="E16" s="230"/>
      <c r="F16" s="230"/>
      <c r="G16" s="521" t="s">
        <v>8</v>
      </c>
      <c r="H16" s="521"/>
      <c r="I16" s="521"/>
      <c r="J16" s="521"/>
      <c r="K16" s="521"/>
      <c r="L16" s="508" t="str">
        <f>'1.基本データ(このシートは削除しないこと！)'!H9</f>
        <v>000-000-0000</v>
      </c>
      <c r="M16" s="508"/>
      <c r="N16" s="508"/>
      <c r="O16" s="508"/>
      <c r="P16" s="508"/>
      <c r="Q16" s="508"/>
      <c r="R16" s="508"/>
      <c r="S16" s="508"/>
    </row>
    <row r="17" spans="1:19" s="229" customFormat="1" ht="25.05" customHeight="1" x14ac:dyDescent="0.2">
      <c r="A17" s="187"/>
      <c r="B17" s="230"/>
      <c r="C17" s="230"/>
      <c r="D17" s="231"/>
      <c r="E17" s="230"/>
      <c r="F17" s="230"/>
      <c r="G17" s="522" t="s">
        <v>15</v>
      </c>
      <c r="H17" s="522"/>
      <c r="I17" s="522"/>
      <c r="J17" s="522"/>
      <c r="K17" s="522"/>
      <c r="L17" s="523" t="str">
        <f>'1.基本データ(このシートは削除しないこと！)'!H10</f>
        <v>○○○○</v>
      </c>
      <c r="M17" s="523"/>
      <c r="N17" s="523"/>
      <c r="O17" s="523"/>
      <c r="P17" s="523"/>
      <c r="Q17" s="523"/>
      <c r="R17" s="523"/>
      <c r="S17" s="523"/>
    </row>
    <row r="18" spans="1:19" s="229" customFormat="1" ht="19.95" customHeight="1" x14ac:dyDescent="0.2">
      <c r="A18" s="188"/>
      <c r="B18" s="233"/>
      <c r="C18" s="231"/>
      <c r="D18" s="231"/>
      <c r="E18" s="230"/>
      <c r="F18" s="230"/>
      <c r="G18" s="230"/>
      <c r="H18" s="230"/>
      <c r="I18" s="230"/>
      <c r="J18" s="230"/>
      <c r="K18" s="230"/>
      <c r="L18" s="230"/>
      <c r="M18" s="230"/>
      <c r="N18" s="230"/>
      <c r="O18" s="230"/>
      <c r="P18" s="230"/>
      <c r="Q18" s="230"/>
      <c r="R18" s="230"/>
      <c r="S18" s="230"/>
    </row>
    <row r="19" spans="1:19" s="229" customFormat="1" ht="19.95" customHeight="1" x14ac:dyDescent="0.2">
      <c r="B19" s="230"/>
      <c r="C19" s="230"/>
      <c r="D19" s="230"/>
      <c r="E19" s="230"/>
      <c r="F19" s="230"/>
      <c r="G19" s="230"/>
      <c r="H19" s="230"/>
      <c r="I19" s="230"/>
      <c r="J19" s="230"/>
      <c r="K19" s="230"/>
      <c r="L19" s="230"/>
      <c r="M19" s="230"/>
      <c r="N19" s="230"/>
      <c r="O19" s="230"/>
      <c r="P19" s="230"/>
      <c r="Q19" s="230"/>
      <c r="R19" s="230"/>
      <c r="S19" s="230"/>
    </row>
    <row r="20" spans="1:19" s="229" customFormat="1" ht="19.95" customHeight="1" x14ac:dyDescent="0.2">
      <c r="B20" s="230"/>
      <c r="C20" s="524"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524"/>
      <c r="E20" s="524"/>
      <c r="F20" s="524"/>
      <c r="G20" s="524"/>
      <c r="H20" s="524"/>
      <c r="I20" s="524"/>
      <c r="J20" s="524"/>
      <c r="K20" s="524"/>
      <c r="L20" s="524"/>
      <c r="M20" s="524"/>
      <c r="N20" s="524"/>
      <c r="O20" s="524"/>
      <c r="P20" s="524"/>
      <c r="Q20" s="524"/>
      <c r="R20" s="524"/>
      <c r="S20" s="524"/>
    </row>
    <row r="21" spans="1:19" s="229" customFormat="1" ht="19.95" customHeight="1" x14ac:dyDescent="0.2">
      <c r="B21" s="230"/>
      <c r="C21" s="524"/>
      <c r="D21" s="524"/>
      <c r="E21" s="524"/>
      <c r="F21" s="524"/>
      <c r="G21" s="524"/>
      <c r="H21" s="524"/>
      <c r="I21" s="524"/>
      <c r="J21" s="524"/>
      <c r="K21" s="524"/>
      <c r="L21" s="524"/>
      <c r="M21" s="524"/>
      <c r="N21" s="524"/>
      <c r="O21" s="524"/>
      <c r="P21" s="524"/>
      <c r="Q21" s="524"/>
      <c r="R21" s="524"/>
      <c r="S21" s="524"/>
    </row>
    <row r="22" spans="1:19" s="229" customFormat="1" ht="19.95" customHeight="1" x14ac:dyDescent="0.2">
      <c r="B22" s="230"/>
      <c r="C22" s="524"/>
      <c r="D22" s="524"/>
      <c r="E22" s="524"/>
      <c r="F22" s="524"/>
      <c r="G22" s="524"/>
      <c r="H22" s="524"/>
      <c r="I22" s="524"/>
      <c r="J22" s="524"/>
      <c r="K22" s="524"/>
      <c r="L22" s="524"/>
      <c r="M22" s="524"/>
      <c r="N22" s="524"/>
      <c r="O22" s="524"/>
      <c r="P22" s="524"/>
      <c r="Q22" s="524"/>
      <c r="R22" s="524"/>
      <c r="S22" s="524"/>
    </row>
    <row r="23" spans="1:19" s="229" customFormat="1" ht="19.95" customHeight="1" x14ac:dyDescent="0.2">
      <c r="B23" s="230"/>
      <c r="C23" s="524"/>
      <c r="D23" s="524"/>
      <c r="E23" s="524"/>
      <c r="F23" s="524"/>
      <c r="G23" s="524"/>
      <c r="H23" s="524"/>
      <c r="I23" s="524"/>
      <c r="J23" s="524"/>
      <c r="K23" s="524"/>
      <c r="L23" s="524"/>
      <c r="M23" s="524"/>
      <c r="N23" s="524"/>
      <c r="O23" s="524"/>
      <c r="P23" s="524"/>
      <c r="Q23" s="524"/>
      <c r="R23" s="524"/>
      <c r="S23" s="524"/>
    </row>
    <row r="24" spans="1:19" s="229" customFormat="1" ht="19.95" customHeight="1" x14ac:dyDescent="0.2">
      <c r="B24" s="230"/>
      <c r="C24" s="524"/>
      <c r="D24" s="524"/>
      <c r="E24" s="524"/>
      <c r="F24" s="524"/>
      <c r="G24" s="524"/>
      <c r="H24" s="524"/>
      <c r="I24" s="524"/>
      <c r="J24" s="524"/>
      <c r="K24" s="524"/>
      <c r="L24" s="524"/>
      <c r="M24" s="524"/>
      <c r="N24" s="524"/>
      <c r="O24" s="524"/>
      <c r="P24" s="524"/>
      <c r="Q24" s="524"/>
      <c r="R24" s="524"/>
      <c r="S24" s="524"/>
    </row>
    <row r="25" spans="1:19" s="229" customFormat="1" ht="19.95" customHeight="1" x14ac:dyDescent="0.2">
      <c r="B25" s="230"/>
      <c r="C25" s="230"/>
      <c r="D25" s="230"/>
      <c r="E25" s="230"/>
      <c r="F25" s="230"/>
      <c r="G25" s="230"/>
      <c r="H25" s="230"/>
      <c r="I25" s="230"/>
      <c r="J25" s="230"/>
      <c r="K25" s="230"/>
      <c r="L25" s="230"/>
      <c r="M25" s="230"/>
      <c r="N25" s="230"/>
      <c r="O25" s="230"/>
      <c r="P25" s="230"/>
      <c r="Q25" s="230"/>
      <c r="R25" s="230"/>
      <c r="S25" s="230"/>
    </row>
    <row r="26" spans="1:19" s="239" customFormat="1" ht="22.95" customHeight="1" x14ac:dyDescent="0.2">
      <c r="B26" s="230"/>
      <c r="C26" s="236" t="s">
        <v>366</v>
      </c>
      <c r="D26" s="236"/>
      <c r="E26" s="236"/>
      <c r="F26" s="236"/>
      <c r="G26" s="240"/>
      <c r="H26" s="240"/>
      <c r="I26" s="240"/>
      <c r="J26" s="240"/>
      <c r="K26" s="240"/>
      <c r="L26" s="240"/>
      <c r="M26" s="240"/>
      <c r="N26" s="240"/>
      <c r="O26" s="240"/>
      <c r="P26" s="240"/>
      <c r="Q26" s="240"/>
      <c r="R26" s="240"/>
      <c r="S26" s="240"/>
    </row>
    <row r="27" spans="1:19" s="239" customFormat="1" ht="22.95" customHeight="1" x14ac:dyDescent="0.2">
      <c r="B27" s="230"/>
      <c r="C27" s="236" t="s">
        <v>362</v>
      </c>
      <c r="D27" s="236"/>
      <c r="E27" s="236"/>
      <c r="F27" s="236"/>
      <c r="G27" s="240"/>
      <c r="H27" s="240"/>
      <c r="I27" s="240"/>
      <c r="J27" s="240"/>
      <c r="K27" s="240"/>
      <c r="L27" s="240"/>
      <c r="M27" s="240"/>
      <c r="N27" s="240"/>
      <c r="O27" s="240"/>
      <c r="P27" s="240"/>
      <c r="Q27" s="240"/>
      <c r="R27" s="240"/>
      <c r="S27" s="240"/>
    </row>
    <row r="28" spans="1:19" s="239" customFormat="1" ht="22.95" customHeight="1" x14ac:dyDescent="0.2">
      <c r="B28" s="230"/>
      <c r="C28" s="234" t="s">
        <v>363</v>
      </c>
      <c r="D28" s="234"/>
      <c r="E28" s="234"/>
      <c r="F28" s="234"/>
      <c r="G28" s="230"/>
      <c r="H28" s="230"/>
      <c r="I28" s="230"/>
      <c r="J28" s="230"/>
      <c r="K28" s="230"/>
      <c r="L28" s="230"/>
      <c r="M28" s="230"/>
      <c r="N28" s="230"/>
      <c r="O28" s="230"/>
      <c r="P28" s="230"/>
      <c r="Q28" s="230"/>
      <c r="R28" s="230"/>
      <c r="S28" s="230"/>
    </row>
    <row r="29" spans="1:19" s="239" customFormat="1" ht="22.95" customHeight="1" x14ac:dyDescent="0.2">
      <c r="B29" s="230"/>
      <c r="C29" s="236"/>
      <c r="D29" s="236"/>
      <c r="E29" s="236"/>
      <c r="F29" s="236"/>
      <c r="G29" s="230"/>
      <c r="H29" s="230"/>
      <c r="I29" s="230"/>
      <c r="J29" s="230"/>
      <c r="K29" s="230"/>
      <c r="L29" s="230"/>
      <c r="M29" s="230"/>
      <c r="N29" s="230"/>
      <c r="O29" s="230"/>
      <c r="P29" s="230"/>
      <c r="Q29" s="230"/>
      <c r="R29" s="230"/>
      <c r="S29" s="230"/>
    </row>
    <row r="30" spans="1:19" s="239" customFormat="1" ht="22.95" customHeight="1" x14ac:dyDescent="0.2">
      <c r="B30" s="230"/>
      <c r="C30" s="234" t="s">
        <v>274</v>
      </c>
      <c r="D30" s="234"/>
      <c r="E30" s="234"/>
      <c r="F30" s="234"/>
      <c r="G30" s="230"/>
      <c r="H30" s="230"/>
      <c r="I30" s="230"/>
      <c r="J30" s="230"/>
      <c r="K30" s="230"/>
      <c r="L30" s="230"/>
      <c r="M30" s="230"/>
      <c r="N30" s="230"/>
      <c r="O30" s="230"/>
      <c r="P30" s="230"/>
      <c r="Q30" s="230"/>
      <c r="R30" s="230"/>
      <c r="S30" s="230"/>
    </row>
    <row r="31" spans="1:19" s="239" customFormat="1" ht="22.95" customHeight="1" x14ac:dyDescent="0.2">
      <c r="B31" s="230"/>
      <c r="C31" s="234" t="s">
        <v>364</v>
      </c>
      <c r="D31" s="234"/>
      <c r="E31" s="234"/>
      <c r="F31" s="234"/>
      <c r="G31" s="230"/>
      <c r="H31" s="230"/>
      <c r="I31" s="230"/>
      <c r="J31" s="230"/>
      <c r="K31" s="230"/>
      <c r="L31" s="230"/>
      <c r="M31" s="230"/>
      <c r="N31" s="230"/>
      <c r="O31" s="230"/>
      <c r="P31" s="230"/>
      <c r="Q31" s="230"/>
      <c r="R31" s="230"/>
      <c r="S31" s="230"/>
    </row>
    <row r="32" spans="1:19" s="239" customFormat="1" ht="22.95" customHeight="1" x14ac:dyDescent="0.2">
      <c r="B32" s="230"/>
      <c r="C32" s="234" t="s">
        <v>365</v>
      </c>
      <c r="D32" s="234"/>
      <c r="E32" s="234"/>
      <c r="F32" s="234"/>
      <c r="G32" s="230"/>
      <c r="H32" s="230"/>
      <c r="I32" s="230"/>
      <c r="J32" s="230"/>
      <c r="K32" s="230"/>
      <c r="L32" s="230"/>
      <c r="M32" s="230"/>
      <c r="N32" s="230"/>
      <c r="O32" s="230"/>
      <c r="P32" s="230"/>
      <c r="Q32" s="230"/>
      <c r="R32" s="230"/>
      <c r="S32" s="230"/>
    </row>
    <row r="33" spans="1:22" s="239" customFormat="1" ht="22.95" customHeight="1" x14ac:dyDescent="0.2">
      <c r="B33" s="230"/>
      <c r="C33" s="234"/>
      <c r="D33" s="234"/>
      <c r="E33" s="234"/>
      <c r="F33" s="234"/>
      <c r="G33" s="230"/>
      <c r="H33" s="230"/>
      <c r="I33" s="230"/>
      <c r="J33" s="230"/>
      <c r="K33" s="230"/>
      <c r="L33" s="230"/>
      <c r="M33" s="230"/>
      <c r="N33" s="230"/>
      <c r="O33" s="230"/>
      <c r="P33" s="230"/>
      <c r="Q33" s="230"/>
      <c r="R33" s="230"/>
      <c r="S33" s="230"/>
    </row>
    <row r="34" spans="1:22" s="239" customFormat="1" ht="22.95" customHeight="1" x14ac:dyDescent="0.2">
      <c r="B34" s="230"/>
      <c r="C34" s="234" t="s">
        <v>246</v>
      </c>
      <c r="D34" s="234"/>
      <c r="E34" s="234"/>
      <c r="F34" s="234"/>
      <c r="G34" s="230"/>
      <c r="H34" s="230"/>
      <c r="I34" s="230"/>
      <c r="J34" s="230"/>
      <c r="K34" s="230"/>
      <c r="L34" s="230"/>
      <c r="M34" s="230"/>
      <c r="N34" s="230"/>
      <c r="O34" s="230"/>
      <c r="P34" s="230"/>
      <c r="Q34" s="230"/>
      <c r="R34" s="230"/>
      <c r="S34" s="230"/>
    </row>
    <row r="35" spans="1:22" s="239" customFormat="1" ht="22.95" customHeight="1" x14ac:dyDescent="0.2">
      <c r="B35" s="230"/>
      <c r="C35" s="234" t="s">
        <v>9</v>
      </c>
      <c r="D35" s="234"/>
      <c r="E35" s="234"/>
      <c r="F35" s="234"/>
      <c r="G35" s="230"/>
      <c r="H35" s="230"/>
      <c r="I35" s="230"/>
      <c r="J35" s="230"/>
      <c r="K35" s="230"/>
      <c r="L35" s="230"/>
      <c r="M35" s="230"/>
      <c r="N35" s="230"/>
      <c r="O35" s="230"/>
      <c r="P35" s="230"/>
      <c r="Q35" s="230"/>
      <c r="R35" s="230"/>
      <c r="S35" s="230"/>
    </row>
    <row r="36" spans="1:22" s="239" customFormat="1" ht="22.95" customHeight="1" x14ac:dyDescent="0.2">
      <c r="B36" s="230"/>
      <c r="C36" s="234" t="s">
        <v>10</v>
      </c>
      <c r="D36" s="234"/>
      <c r="E36" s="234"/>
      <c r="F36" s="234"/>
      <c r="G36" s="230"/>
      <c r="H36" s="230"/>
      <c r="I36" s="230"/>
      <c r="J36" s="230"/>
      <c r="K36" s="230"/>
      <c r="L36" s="230"/>
      <c r="M36" s="230"/>
      <c r="N36" s="230"/>
      <c r="O36" s="230"/>
      <c r="P36" s="230"/>
      <c r="Q36" s="230"/>
      <c r="R36" s="230"/>
      <c r="S36" s="230"/>
    </row>
    <row r="37" spans="1:22" s="239" customFormat="1" ht="22.95" customHeight="1" x14ac:dyDescent="0.2">
      <c r="B37" s="230"/>
      <c r="C37" s="234" t="s">
        <v>11</v>
      </c>
      <c r="D37" s="234"/>
      <c r="E37" s="234"/>
      <c r="F37" s="234"/>
      <c r="G37" s="230"/>
      <c r="H37" s="230"/>
      <c r="I37" s="230"/>
      <c r="J37" s="230"/>
      <c r="K37" s="230"/>
      <c r="L37" s="230"/>
      <c r="M37" s="230"/>
      <c r="N37" s="230"/>
      <c r="O37" s="230"/>
      <c r="P37" s="230"/>
      <c r="Q37" s="230"/>
      <c r="R37" s="230"/>
      <c r="S37" s="230"/>
    </row>
    <row r="38" spans="1:22" s="239" customFormat="1" ht="22.95" customHeight="1" x14ac:dyDescent="0.2">
      <c r="B38" s="230"/>
      <c r="C38" s="234" t="s">
        <v>12</v>
      </c>
      <c r="D38" s="234"/>
      <c r="E38" s="234"/>
      <c r="F38" s="234"/>
      <c r="G38" s="230"/>
      <c r="H38" s="230"/>
      <c r="I38" s="230"/>
      <c r="J38" s="230"/>
      <c r="K38" s="230"/>
      <c r="L38" s="230"/>
      <c r="M38" s="230"/>
      <c r="N38" s="230"/>
      <c r="O38" s="230"/>
      <c r="P38" s="230"/>
      <c r="Q38" s="230"/>
      <c r="R38" s="230"/>
      <c r="S38" s="230"/>
    </row>
    <row r="39" spans="1:22" s="239" customFormat="1" ht="22.95" customHeight="1" x14ac:dyDescent="0.2">
      <c r="B39" s="230"/>
      <c r="C39" s="234"/>
      <c r="D39" s="234"/>
      <c r="E39" s="234"/>
      <c r="F39" s="234"/>
      <c r="G39" s="230"/>
      <c r="H39" s="230"/>
      <c r="I39" s="230"/>
      <c r="J39" s="230"/>
      <c r="K39" s="230"/>
      <c r="L39" s="230"/>
      <c r="M39" s="230"/>
      <c r="N39" s="230"/>
      <c r="O39" s="230"/>
      <c r="P39" s="230"/>
      <c r="Q39" s="230"/>
      <c r="R39" s="230"/>
      <c r="S39" s="230"/>
    </row>
    <row r="40" spans="1:22" s="239" customFormat="1" ht="22.95" customHeight="1" x14ac:dyDescent="0.2">
      <c r="B40" s="230"/>
      <c r="C40" s="234" t="s">
        <v>247</v>
      </c>
      <c r="D40" s="234"/>
      <c r="E40" s="234"/>
      <c r="F40" s="234"/>
      <c r="G40" s="230"/>
      <c r="H40" s="230"/>
      <c r="I40" s="230"/>
      <c r="J40" s="230"/>
      <c r="K40" s="230"/>
      <c r="L40" s="230"/>
      <c r="M40" s="230"/>
      <c r="N40" s="230"/>
      <c r="O40" s="230"/>
      <c r="P40" s="230"/>
      <c r="Q40" s="230"/>
      <c r="R40" s="230"/>
      <c r="S40" s="230"/>
    </row>
    <row r="41" spans="1:22" s="239" customFormat="1" ht="22.95" customHeight="1" x14ac:dyDescent="0.2">
      <c r="B41" s="230"/>
      <c r="C41" s="234" t="s">
        <v>9</v>
      </c>
      <c r="D41" s="234"/>
      <c r="E41" s="234"/>
      <c r="F41" s="234"/>
      <c r="G41" s="230"/>
      <c r="H41" s="230"/>
      <c r="I41" s="230"/>
      <c r="J41" s="230"/>
      <c r="K41" s="230"/>
      <c r="L41" s="230"/>
      <c r="M41" s="230"/>
      <c r="N41" s="230"/>
      <c r="O41" s="230"/>
      <c r="P41" s="230"/>
      <c r="Q41" s="230"/>
      <c r="R41" s="230"/>
      <c r="S41" s="230"/>
    </row>
    <row r="42" spans="1:22" s="239" customFormat="1" ht="22.95" customHeight="1" x14ac:dyDescent="0.2">
      <c r="B42" s="230"/>
      <c r="C42" s="234" t="s">
        <v>10</v>
      </c>
      <c r="D42" s="234"/>
      <c r="E42" s="234"/>
      <c r="F42" s="234"/>
      <c r="G42" s="230"/>
      <c r="H42" s="230"/>
      <c r="I42" s="230"/>
      <c r="J42" s="230"/>
      <c r="K42" s="230"/>
      <c r="L42" s="230"/>
      <c r="M42" s="230"/>
      <c r="N42" s="230"/>
      <c r="O42" s="230"/>
      <c r="P42" s="230"/>
      <c r="Q42" s="230"/>
      <c r="R42" s="230"/>
      <c r="S42" s="230"/>
    </row>
    <row r="43" spans="1:22" s="239" customFormat="1" ht="22.95" customHeight="1" x14ac:dyDescent="0.2">
      <c r="B43" s="230"/>
      <c r="C43" s="234" t="s">
        <v>11</v>
      </c>
      <c r="D43" s="234"/>
      <c r="E43" s="234"/>
      <c r="F43" s="234"/>
      <c r="G43" s="230"/>
      <c r="H43" s="230"/>
      <c r="I43" s="230"/>
      <c r="J43" s="230"/>
      <c r="K43" s="230"/>
      <c r="L43" s="230"/>
      <c r="M43" s="230"/>
      <c r="N43" s="230"/>
      <c r="O43" s="230"/>
      <c r="P43" s="230"/>
      <c r="Q43" s="230"/>
      <c r="R43" s="230"/>
      <c r="S43" s="230"/>
    </row>
    <row r="44" spans="1:22" s="239" customFormat="1" ht="22.95" customHeight="1" x14ac:dyDescent="0.2">
      <c r="B44" s="230"/>
      <c r="C44" s="234" t="s">
        <v>12</v>
      </c>
      <c r="D44" s="234"/>
      <c r="E44" s="234"/>
      <c r="F44" s="234"/>
      <c r="G44" s="230"/>
      <c r="H44" s="230"/>
      <c r="I44" s="230"/>
      <c r="J44" s="230"/>
      <c r="K44" s="230"/>
      <c r="L44" s="230"/>
      <c r="M44" s="230"/>
      <c r="N44" s="230"/>
      <c r="O44" s="230"/>
      <c r="P44" s="230"/>
      <c r="Q44" s="230"/>
      <c r="R44" s="230"/>
      <c r="S44" s="230"/>
    </row>
    <row r="45" spans="1:22" s="239" customFormat="1" ht="22.95" customHeight="1" x14ac:dyDescent="0.2">
      <c r="B45" s="230"/>
      <c r="C45" s="234" t="s">
        <v>13</v>
      </c>
      <c r="D45" s="234"/>
      <c r="E45" s="234"/>
      <c r="F45" s="234"/>
      <c r="G45" s="230"/>
      <c r="H45" s="230"/>
      <c r="I45" s="230"/>
      <c r="J45" s="230"/>
      <c r="K45" s="230"/>
      <c r="L45" s="230"/>
      <c r="M45" s="230"/>
      <c r="N45" s="230"/>
      <c r="O45" s="230"/>
      <c r="P45" s="230"/>
      <c r="Q45" s="230"/>
      <c r="R45" s="230"/>
      <c r="S45" s="230"/>
    </row>
    <row r="46" spans="1:22" s="229" customFormat="1" ht="19.95" customHeight="1" thickBot="1" x14ac:dyDescent="0.25">
      <c r="A46" s="241"/>
      <c r="B46" s="242"/>
      <c r="C46" s="242"/>
      <c r="D46" s="243"/>
      <c r="E46" s="243"/>
      <c r="F46" s="243"/>
      <c r="G46" s="243"/>
      <c r="H46" s="243"/>
      <c r="I46" s="243"/>
      <c r="J46" s="243"/>
      <c r="K46" s="243"/>
      <c r="L46" s="243"/>
      <c r="M46" s="243"/>
      <c r="N46" s="243"/>
      <c r="O46" s="243"/>
      <c r="P46" s="243"/>
      <c r="Q46" s="230"/>
      <c r="R46" s="230"/>
      <c r="S46" s="230"/>
    </row>
    <row r="47" spans="1:22" ht="30" customHeight="1" thickTop="1" thickBot="1" x14ac:dyDescent="0.25">
      <c r="A47" s="29"/>
      <c r="B47" s="30"/>
      <c r="C47" s="30"/>
      <c r="D47" s="31"/>
      <c r="E47" s="31"/>
      <c r="F47" s="31"/>
      <c r="G47" s="31"/>
      <c r="H47" s="31"/>
      <c r="I47" s="31"/>
      <c r="J47" s="31"/>
      <c r="K47" s="31"/>
      <c r="L47" s="31"/>
      <c r="M47" s="31"/>
      <c r="N47" s="31"/>
      <c r="O47" s="31"/>
      <c r="P47" s="31"/>
      <c r="Q47" s="225"/>
      <c r="R47" s="225"/>
      <c r="S47" s="297" t="str">
        <f>'1.基本データ(このシートは削除しないこと！)'!H1</f>
        <v>令和６年度様式（令和６年４月１日以降の入札公告から適用）</v>
      </c>
      <c r="T47" s="470" t="s">
        <v>4</v>
      </c>
      <c r="U47" s="471"/>
      <c r="V47" s="32" t="e">
        <f>SUM(F52:F101)</f>
        <v>#N/A</v>
      </c>
    </row>
    <row r="48" spans="1:22" ht="14.25" customHeight="1" thickTop="1" x14ac:dyDescent="0.2">
      <c r="A48" s="33"/>
      <c r="B48" s="476" t="s">
        <v>276</v>
      </c>
      <c r="C48" s="476"/>
      <c r="D48" s="476"/>
      <c r="E48" s="476"/>
      <c r="F48" s="476"/>
      <c r="G48" s="476"/>
      <c r="H48" s="476"/>
      <c r="I48" s="185"/>
      <c r="J48" s="185"/>
      <c r="K48" s="185"/>
      <c r="L48" s="185"/>
      <c r="M48" s="185"/>
      <c r="N48" s="185"/>
      <c r="O48" s="185"/>
      <c r="P48" s="185"/>
      <c r="Q48" s="34"/>
      <c r="S48" s="35" t="s">
        <v>275</v>
      </c>
    </row>
    <row r="49" spans="1:42" ht="16.5" customHeight="1" x14ac:dyDescent="0.2">
      <c r="A49" s="33"/>
      <c r="B49" s="472" t="s">
        <v>144</v>
      </c>
      <c r="C49" s="472"/>
      <c r="D49" s="472"/>
      <c r="E49" s="473" t="str">
        <f>'1.基本データ(このシートは削除しないこと！)'!H14&amp;'1.基本データ(このシートは削除しないこと！)'!H15</f>
        <v>第○○-○○○○○-○○○○号 ○○○○○○○○○○○○工事</v>
      </c>
      <c r="F49" s="473"/>
      <c r="G49" s="473"/>
      <c r="H49" s="473"/>
      <c r="I49" s="473"/>
      <c r="J49" s="473"/>
      <c r="K49" s="473"/>
      <c r="L49" s="473"/>
      <c r="M49" s="473"/>
      <c r="N49" s="473"/>
      <c r="O49" s="473"/>
      <c r="P49" s="473"/>
      <c r="Q49" s="473"/>
      <c r="R49" s="473"/>
    </row>
    <row r="50" spans="1:42" ht="16.5" customHeight="1" thickBot="1" x14ac:dyDescent="0.25">
      <c r="A50" s="33"/>
      <c r="B50" s="220"/>
      <c r="C50" s="220"/>
      <c r="D50" s="221" t="s">
        <v>145</v>
      </c>
      <c r="E50" s="222" t="str">
        <f>'1.基本データ(このシートは削除しないこと！)'!H7</f>
        <v>株式会社○○○○</v>
      </c>
      <c r="F50" s="223"/>
      <c r="G50" s="223"/>
      <c r="H50" s="223"/>
      <c r="I50" s="223"/>
      <c r="J50" s="223"/>
      <c r="K50" s="223"/>
      <c r="L50" s="223"/>
      <c r="M50" s="223"/>
      <c r="N50" s="223"/>
      <c r="O50" s="223"/>
      <c r="P50" s="223"/>
      <c r="Q50" s="223"/>
      <c r="R50" s="223"/>
      <c r="S50" s="33"/>
    </row>
    <row r="51" spans="1:42" ht="22.5" customHeight="1" thickBot="1" x14ac:dyDescent="0.25">
      <c r="A51" s="33"/>
      <c r="B51" s="474" t="s">
        <v>2</v>
      </c>
      <c r="C51" s="474"/>
      <c r="D51" s="474"/>
      <c r="E51" s="36" t="s">
        <v>174</v>
      </c>
      <c r="F51" s="37" t="s">
        <v>3</v>
      </c>
      <c r="G51" s="346" t="s">
        <v>326</v>
      </c>
      <c r="H51" s="347"/>
      <c r="I51" s="347"/>
      <c r="J51" s="347"/>
      <c r="K51" s="347"/>
      <c r="L51" s="347"/>
      <c r="M51" s="347"/>
      <c r="N51" s="347"/>
      <c r="O51" s="347"/>
      <c r="P51" s="347"/>
      <c r="Q51" s="347"/>
      <c r="R51" s="347"/>
      <c r="S51" s="348"/>
      <c r="V51" s="38" t="s">
        <v>141</v>
      </c>
      <c r="AB51" s="39"/>
      <c r="AC51" s="39"/>
      <c r="AD51" s="40" t="s">
        <v>176</v>
      </c>
      <c r="AE51" s="183" t="s">
        <v>177</v>
      </c>
      <c r="AG51" s="39"/>
      <c r="AH51" s="39"/>
      <c r="AP51" s="168" t="s">
        <v>178</v>
      </c>
    </row>
    <row r="52" spans="1:42" ht="30" customHeight="1" thickBot="1" x14ac:dyDescent="0.25">
      <c r="A52" s="33"/>
      <c r="B52" s="417" t="s">
        <v>226</v>
      </c>
      <c r="C52" s="400" t="s">
        <v>340</v>
      </c>
      <c r="D52" s="406"/>
      <c r="E52" s="477">
        <f>AD52</f>
        <v>2</v>
      </c>
      <c r="F52" s="475" t="str">
        <f>IF(Y52=0,"-",AP52)</f>
        <v>-</v>
      </c>
      <c r="G52" s="374" t="s">
        <v>143</v>
      </c>
      <c r="H52" s="375"/>
      <c r="I52" s="355"/>
      <c r="J52" s="356"/>
      <c r="K52" s="356"/>
      <c r="L52" s="356"/>
      <c r="M52" s="356"/>
      <c r="N52" s="356"/>
      <c r="O52" s="356"/>
      <c r="P52" s="356"/>
      <c r="Q52" s="357"/>
      <c r="R52" s="224" t="s">
        <v>255</v>
      </c>
      <c r="S52" s="479"/>
      <c r="V52" s="41">
        <f>IF(I52="",0,1)</f>
        <v>0</v>
      </c>
      <c r="W52" s="41">
        <f>IF(S52="",0,1)</f>
        <v>0</v>
      </c>
      <c r="X52" s="42"/>
      <c r="Y52" s="22">
        <f>SUM(V52:X54)</f>
        <v>0</v>
      </c>
      <c r="Z52" s="23" t="s">
        <v>278</v>
      </c>
      <c r="AA52" s="43" t="s">
        <v>22</v>
      </c>
      <c r="AB52" s="44"/>
      <c r="AC52" s="45">
        <f>IF($I$53=AA52,1,0)</f>
        <v>0</v>
      </c>
      <c r="AD52" s="46">
        <v>2</v>
      </c>
      <c r="AE52" s="47">
        <f>AC52*AD52</f>
        <v>0</v>
      </c>
      <c r="AG52" s="48"/>
      <c r="AH52" s="48"/>
      <c r="AP52" s="169">
        <f>IF(Y52=3,MAX(AE52:AE54),0)</f>
        <v>0</v>
      </c>
    </row>
    <row r="53" spans="1:42" ht="30" customHeight="1" thickBot="1" x14ac:dyDescent="0.25">
      <c r="A53" s="33"/>
      <c r="B53" s="418"/>
      <c r="C53" s="407"/>
      <c r="D53" s="408"/>
      <c r="E53" s="478"/>
      <c r="F53" s="475"/>
      <c r="G53" s="376" t="s">
        <v>327</v>
      </c>
      <c r="H53" s="377"/>
      <c r="I53" s="355"/>
      <c r="J53" s="356"/>
      <c r="K53" s="356"/>
      <c r="L53" s="356"/>
      <c r="M53" s="356"/>
      <c r="N53" s="356"/>
      <c r="O53" s="356"/>
      <c r="P53" s="356"/>
      <c r="Q53" s="357"/>
      <c r="R53" s="358" t="s">
        <v>280</v>
      </c>
      <c r="S53" s="480"/>
      <c r="V53" s="41">
        <f>IF(I53="",0,1)</f>
        <v>0</v>
      </c>
      <c r="W53" s="49"/>
      <c r="X53" s="50"/>
      <c r="Y53" s="50"/>
      <c r="Z53" s="23"/>
      <c r="AA53" s="43" t="s">
        <v>28</v>
      </c>
      <c r="AB53" s="44"/>
      <c r="AC53" s="45">
        <f>IF($I$53=AA53,1,0)</f>
        <v>0</v>
      </c>
      <c r="AD53" s="46">
        <v>1.5</v>
      </c>
      <c r="AE53" s="47">
        <f>AC53*AD53</f>
        <v>0</v>
      </c>
      <c r="AG53" s="48"/>
      <c r="AH53" s="48"/>
      <c r="AP53" s="51"/>
    </row>
    <row r="54" spans="1:42" ht="30" customHeight="1" thickBot="1" x14ac:dyDescent="0.25">
      <c r="A54" s="33"/>
      <c r="B54" s="418"/>
      <c r="C54" s="407"/>
      <c r="D54" s="408"/>
      <c r="E54" s="478"/>
      <c r="F54" s="475"/>
      <c r="G54" s="378" t="s">
        <v>264</v>
      </c>
      <c r="H54" s="379"/>
      <c r="I54" s="365"/>
      <c r="J54" s="366"/>
      <c r="K54" s="366"/>
      <c r="L54" s="366"/>
      <c r="M54" s="366"/>
      <c r="N54" s="366"/>
      <c r="O54" s="366"/>
      <c r="P54" s="366"/>
      <c r="Q54" s="367"/>
      <c r="R54" s="359"/>
      <c r="S54" s="481"/>
      <c r="V54" s="52"/>
      <c r="W54" s="53"/>
      <c r="X54" s="50"/>
      <c r="Y54" s="50"/>
      <c r="AA54" s="43" t="s">
        <v>31</v>
      </c>
      <c r="AB54" s="44"/>
      <c r="AC54" s="45">
        <f>IF($I$53=AA54,1,0)</f>
        <v>0</v>
      </c>
      <c r="AD54" s="46">
        <v>0.5</v>
      </c>
      <c r="AE54" s="47">
        <f>AC54*AD54</f>
        <v>0</v>
      </c>
      <c r="AG54" s="48"/>
      <c r="AH54" s="48"/>
      <c r="AJ54" s="12" t="s">
        <v>169</v>
      </c>
      <c r="AK54" s="12" t="s">
        <v>152</v>
      </c>
    </row>
    <row r="55" spans="1:42" ht="30" customHeight="1" thickBot="1" x14ac:dyDescent="0.25">
      <c r="A55" s="33"/>
      <c r="B55" s="482"/>
      <c r="C55" s="498" t="s">
        <v>341</v>
      </c>
      <c r="D55" s="487"/>
      <c r="E55" s="512">
        <f>AD56</f>
        <v>1.5</v>
      </c>
      <c r="F55" s="434">
        <f>IF(Y55=0,"-",AP56)</f>
        <v>0</v>
      </c>
      <c r="G55" s="380" t="s">
        <v>282</v>
      </c>
      <c r="H55" s="381"/>
      <c r="I55" s="129" t="s">
        <v>249</v>
      </c>
      <c r="J55" s="244"/>
      <c r="K55" s="15" t="s">
        <v>250</v>
      </c>
      <c r="L55" s="501"/>
      <c r="M55" s="493"/>
      <c r="N55" s="15" t="s">
        <v>250</v>
      </c>
      <c r="O55" s="492"/>
      <c r="P55" s="493"/>
      <c r="Q55" s="130" t="s">
        <v>251</v>
      </c>
      <c r="R55" s="212" t="s">
        <v>328</v>
      </c>
      <c r="S55" s="161" t="s">
        <v>173</v>
      </c>
      <c r="V55" s="41">
        <f>IF(AND(J55&lt;&gt;"",L55&lt;&gt;"",O55&lt;&gt;""),1,0)</f>
        <v>0</v>
      </c>
      <c r="W55" s="41">
        <f>IF(S55='1.基本データ(このシートは削除しないこと！)'!D16,1,0)</f>
        <v>1</v>
      </c>
      <c r="X55" s="42"/>
      <c r="Y55" s="22">
        <f>SUM(V55:W56)</f>
        <v>1</v>
      </c>
      <c r="Z55" s="23" t="s">
        <v>245</v>
      </c>
      <c r="AB55" s="48"/>
      <c r="AC55" s="48"/>
      <c r="AD55" s="40" t="s">
        <v>169</v>
      </c>
      <c r="AE55" s="183" t="s">
        <v>152</v>
      </c>
      <c r="AG55" s="55" t="s">
        <v>310</v>
      </c>
      <c r="AH55" s="56"/>
      <c r="AI55" s="45">
        <f>IF($S$56=AG55,1,0)</f>
        <v>0</v>
      </c>
      <c r="AJ55" s="41">
        <v>1.25</v>
      </c>
      <c r="AK55" s="46">
        <f>AI55*AJ55</f>
        <v>0</v>
      </c>
      <c r="AP55" s="168" t="s">
        <v>172</v>
      </c>
    </row>
    <row r="56" spans="1:42" ht="30" customHeight="1" thickBot="1" x14ac:dyDescent="0.25">
      <c r="A56" s="33"/>
      <c r="B56" s="482"/>
      <c r="C56" s="499"/>
      <c r="D56" s="489"/>
      <c r="E56" s="513"/>
      <c r="F56" s="502"/>
      <c r="G56" s="382" t="s">
        <v>378</v>
      </c>
      <c r="H56" s="383"/>
      <c r="I56" s="362"/>
      <c r="J56" s="363"/>
      <c r="K56" s="363"/>
      <c r="L56" s="363"/>
      <c r="M56" s="363"/>
      <c r="N56" s="363"/>
      <c r="O56" s="364"/>
      <c r="P56" s="360" t="s">
        <v>329</v>
      </c>
      <c r="Q56" s="360"/>
      <c r="R56" s="361"/>
      <c r="S56" s="161" t="s">
        <v>173</v>
      </c>
      <c r="V56" s="41">
        <f>IF(AND(I56&lt;&gt;""),1,0)</f>
        <v>0</v>
      </c>
      <c r="W56" s="41">
        <f>IF(S56="-",0,1)</f>
        <v>0</v>
      </c>
      <c r="X56" s="50"/>
      <c r="AA56" s="55" t="s">
        <v>309</v>
      </c>
      <c r="AB56" s="56"/>
      <c r="AC56" s="45">
        <f>IF($S$56=AA56,1,0)</f>
        <v>0</v>
      </c>
      <c r="AD56" s="41">
        <v>1.5</v>
      </c>
      <c r="AE56" s="46">
        <f>AC56*AD56</f>
        <v>0</v>
      </c>
      <c r="AG56" s="55" t="s">
        <v>139</v>
      </c>
      <c r="AH56" s="56"/>
      <c r="AI56" s="45">
        <f>IF($S$56=AG56,1,0)</f>
        <v>0</v>
      </c>
      <c r="AJ56" s="41">
        <v>1</v>
      </c>
      <c r="AK56" s="46">
        <f>AI56*AJ56</f>
        <v>0</v>
      </c>
      <c r="AP56" s="169">
        <f>IF(Y55=4,MAX(AE56,AK55:AK56),0)</f>
        <v>0</v>
      </c>
    </row>
    <row r="57" spans="1:42" ht="19.95" customHeight="1" thickBot="1" x14ac:dyDescent="0.25">
      <c r="A57" s="33"/>
      <c r="B57" s="482"/>
      <c r="C57" s="500"/>
      <c r="D57" s="491"/>
      <c r="E57" s="514"/>
      <c r="F57" s="435"/>
      <c r="G57" s="349" t="s">
        <v>335</v>
      </c>
      <c r="H57" s="350"/>
      <c r="I57" s="350"/>
      <c r="J57" s="350"/>
      <c r="K57" s="350"/>
      <c r="L57" s="350"/>
      <c r="M57" s="350"/>
      <c r="N57" s="350"/>
      <c r="O57" s="350"/>
      <c r="P57" s="350"/>
      <c r="Q57" s="350"/>
      <c r="R57" s="350"/>
      <c r="S57" s="351"/>
      <c r="V57" s="41"/>
      <c r="W57" s="50"/>
      <c r="X57" s="50"/>
      <c r="AA57" s="57"/>
      <c r="AB57" s="58"/>
      <c r="AC57" s="59"/>
      <c r="AD57" s="41"/>
      <c r="AE57" s="60"/>
      <c r="AG57" s="57"/>
      <c r="AH57" s="58"/>
      <c r="AI57" s="59"/>
      <c r="AJ57" s="50"/>
      <c r="AK57" s="60"/>
      <c r="AP57" s="169"/>
    </row>
    <row r="58" spans="1:42" ht="34.950000000000003" customHeight="1" thickBot="1" x14ac:dyDescent="0.25">
      <c r="A58" s="33"/>
      <c r="B58" s="482"/>
      <c r="C58" s="380" t="s">
        <v>268</v>
      </c>
      <c r="D58" s="497"/>
      <c r="E58" s="131">
        <f t="shared" ref="E58" si="0">AD58</f>
        <v>0.25</v>
      </c>
      <c r="F58" s="132" t="str">
        <f t="shared" ref="F58" si="1">AP58</f>
        <v>-</v>
      </c>
      <c r="G58" s="352" t="s">
        <v>367</v>
      </c>
      <c r="H58" s="353"/>
      <c r="I58" s="353"/>
      <c r="J58" s="353"/>
      <c r="K58" s="353"/>
      <c r="L58" s="353"/>
      <c r="M58" s="353"/>
      <c r="N58" s="353"/>
      <c r="O58" s="353"/>
      <c r="P58" s="353"/>
      <c r="Q58" s="353"/>
      <c r="R58" s="133" t="s">
        <v>330</v>
      </c>
      <c r="S58" s="162" t="s">
        <v>173</v>
      </c>
      <c r="V58" s="41">
        <f>IF(S58="有",1,0)</f>
        <v>0</v>
      </c>
      <c r="W58" s="50"/>
      <c r="X58" s="50"/>
      <c r="AD58" s="46">
        <v>0.25</v>
      </c>
      <c r="AE58" s="61"/>
      <c r="AG58" s="48"/>
      <c r="AH58" s="48"/>
      <c r="AP58" s="170" t="str">
        <f>IF(V58=1,AD58,"-")</f>
        <v>-</v>
      </c>
    </row>
    <row r="59" spans="1:42" ht="34.950000000000003" customHeight="1" thickBot="1" x14ac:dyDescent="0.25">
      <c r="A59" s="33"/>
      <c r="B59" s="482"/>
      <c r="C59" s="382" t="s">
        <v>269</v>
      </c>
      <c r="D59" s="515"/>
      <c r="E59" s="131">
        <f t="shared" ref="E59:E60" si="2">AD59</f>
        <v>0.25</v>
      </c>
      <c r="F59" s="132" t="str">
        <f t="shared" ref="F59" si="3">AP59</f>
        <v>-</v>
      </c>
      <c r="G59" s="352" t="s">
        <v>256</v>
      </c>
      <c r="H59" s="353"/>
      <c r="I59" s="354"/>
      <c r="J59" s="354"/>
      <c r="K59" s="354"/>
      <c r="L59" s="354"/>
      <c r="M59" s="354"/>
      <c r="N59" s="354"/>
      <c r="O59" s="354"/>
      <c r="P59" s="354"/>
      <c r="Q59" s="354"/>
      <c r="R59" s="133" t="s">
        <v>331</v>
      </c>
      <c r="S59" s="162" t="s">
        <v>173</v>
      </c>
      <c r="V59" s="41">
        <f>IF(S59="有",1,0)</f>
        <v>0</v>
      </c>
      <c r="W59" s="50"/>
      <c r="X59" s="50"/>
      <c r="AD59" s="46">
        <v>0.25</v>
      </c>
      <c r="AE59" s="61"/>
      <c r="AG59" s="48"/>
      <c r="AH59" s="48"/>
      <c r="AP59" s="170" t="str">
        <f>IF(V59=1,AD59,"-")</f>
        <v>-</v>
      </c>
    </row>
    <row r="60" spans="1:42" ht="34.950000000000003" customHeight="1" thickBot="1" x14ac:dyDescent="0.25">
      <c r="A60" s="33"/>
      <c r="B60" s="482"/>
      <c r="C60" s="380" t="s">
        <v>371</v>
      </c>
      <c r="D60" s="497"/>
      <c r="E60" s="131">
        <f t="shared" si="2"/>
        <v>0.25</v>
      </c>
      <c r="F60" s="132" t="str">
        <f>IF('1.基本データ(このシートは削除しないこと！)'!H16=1,AP60,"-")</f>
        <v>-</v>
      </c>
      <c r="G60" s="352" t="s">
        <v>372</v>
      </c>
      <c r="H60" s="353"/>
      <c r="I60" s="353"/>
      <c r="J60" s="353"/>
      <c r="K60" s="353"/>
      <c r="L60" s="353"/>
      <c r="M60" s="353"/>
      <c r="N60" s="353"/>
      <c r="O60" s="353"/>
      <c r="P60" s="353"/>
      <c r="Q60" s="353"/>
      <c r="R60" s="133" t="s">
        <v>373</v>
      </c>
      <c r="S60" s="162" t="s">
        <v>173</v>
      </c>
      <c r="V60" s="41">
        <f>IF(S60="有",1,0)</f>
        <v>0</v>
      </c>
      <c r="W60" s="50"/>
      <c r="X60" s="50"/>
      <c r="AD60" s="46">
        <v>0.25</v>
      </c>
      <c r="AE60" s="46">
        <f>IF('1.基本データ(このシートは削除しないこと！)'!H16=1,1,0)</f>
        <v>0</v>
      </c>
      <c r="AF60" s="27">
        <f>AD60*AE60</f>
        <v>0</v>
      </c>
      <c r="AG60" s="48"/>
      <c r="AH60" s="48"/>
      <c r="AP60" s="170" t="str">
        <f>IF(V60=1,AF60,"-")</f>
        <v>-</v>
      </c>
    </row>
    <row r="61" spans="1:42" ht="34.950000000000003" customHeight="1" thickBot="1" x14ac:dyDescent="0.25">
      <c r="A61" s="33"/>
      <c r="B61" s="418"/>
      <c r="C61" s="409" t="s">
        <v>1</v>
      </c>
      <c r="D61" s="410"/>
      <c r="E61" s="213"/>
      <c r="F61" s="213"/>
      <c r="G61" s="516" t="s">
        <v>374</v>
      </c>
      <c r="H61" s="517"/>
      <c r="I61" s="494"/>
      <c r="J61" s="495"/>
      <c r="K61" s="495"/>
      <c r="L61" s="495"/>
      <c r="M61" s="495"/>
      <c r="N61" s="495"/>
      <c r="O61" s="495"/>
      <c r="P61" s="495"/>
      <c r="Q61" s="496"/>
      <c r="R61" s="483" t="s">
        <v>370</v>
      </c>
      <c r="S61" s="484"/>
      <c r="V61" s="22">
        <f>IF(I61="",0,1)</f>
        <v>0</v>
      </c>
      <c r="W61" s="27" t="s">
        <v>227</v>
      </c>
      <c r="AD61" s="40" t="s">
        <v>169</v>
      </c>
      <c r="AE61" s="40" t="s">
        <v>152</v>
      </c>
      <c r="AP61" s="168" t="s">
        <v>172</v>
      </c>
    </row>
    <row r="62" spans="1:42" ht="30" customHeight="1" thickBot="1" x14ac:dyDescent="0.25">
      <c r="A62" s="33"/>
      <c r="B62" s="418"/>
      <c r="C62" s="486" t="s">
        <v>355</v>
      </c>
      <c r="D62" s="487"/>
      <c r="E62" s="485">
        <f>AD62</f>
        <v>0.5</v>
      </c>
      <c r="F62" s="475" t="str">
        <f>IF(Y62=0,"-",AP62)</f>
        <v>-</v>
      </c>
      <c r="G62" s="374" t="s">
        <v>143</v>
      </c>
      <c r="H62" s="375"/>
      <c r="I62" s="503"/>
      <c r="J62" s="504"/>
      <c r="K62" s="504"/>
      <c r="L62" s="504"/>
      <c r="M62" s="504"/>
      <c r="N62" s="504"/>
      <c r="O62" s="504"/>
      <c r="P62" s="504"/>
      <c r="Q62" s="505"/>
      <c r="R62" s="224" t="s">
        <v>281</v>
      </c>
      <c r="S62" s="479"/>
      <c r="V62" s="62">
        <f>IF(I62="",0,1)</f>
        <v>0</v>
      </c>
      <c r="W62" s="41">
        <f>IF(S62="",0,1)</f>
        <v>0</v>
      </c>
      <c r="X62" s="42"/>
      <c r="Y62" s="22">
        <f>SUM(V62:W64)</f>
        <v>0</v>
      </c>
      <c r="Z62" s="23" t="s">
        <v>279</v>
      </c>
      <c r="AB62" s="63"/>
      <c r="AC62" s="63"/>
      <c r="AD62" s="46">
        <v>0.5</v>
      </c>
      <c r="AE62" s="25">
        <f>IF(Y62=4,AD62*V$61,0)</f>
        <v>0</v>
      </c>
      <c r="AG62" s="63"/>
      <c r="AH62" s="63"/>
      <c r="AP62" s="171">
        <f>IF(Y62=4,AE62,0)</f>
        <v>0</v>
      </c>
    </row>
    <row r="63" spans="1:42" ht="30" customHeight="1" thickBot="1" x14ac:dyDescent="0.25">
      <c r="A63" s="33"/>
      <c r="B63" s="418"/>
      <c r="C63" s="488"/>
      <c r="D63" s="489"/>
      <c r="E63" s="485"/>
      <c r="F63" s="475"/>
      <c r="G63" s="401" t="s">
        <v>379</v>
      </c>
      <c r="H63" s="403"/>
      <c r="I63" s="404"/>
      <c r="J63" s="405"/>
      <c r="K63" s="405"/>
      <c r="L63" s="405"/>
      <c r="M63" s="13" t="s">
        <v>252</v>
      </c>
      <c r="N63" s="405"/>
      <c r="O63" s="405"/>
      <c r="P63" s="405"/>
      <c r="Q63" s="415"/>
      <c r="R63" s="358" t="s">
        <v>280</v>
      </c>
      <c r="S63" s="480"/>
      <c r="V63" s="41">
        <f>IF(AND(I63&lt;&gt;"",N63&lt;&gt;""),1,0)</f>
        <v>0</v>
      </c>
      <c r="W63" s="49"/>
      <c r="X63" s="50"/>
      <c r="AB63" s="63"/>
      <c r="AC63" s="63"/>
      <c r="AE63" s="63"/>
      <c r="AG63" s="63"/>
      <c r="AH63" s="63"/>
    </row>
    <row r="64" spans="1:42" ht="30" customHeight="1" thickBot="1" x14ac:dyDescent="0.25">
      <c r="A64" s="33"/>
      <c r="B64" s="418"/>
      <c r="C64" s="488"/>
      <c r="D64" s="489"/>
      <c r="E64" s="485"/>
      <c r="F64" s="475"/>
      <c r="G64" s="401" t="s">
        <v>380</v>
      </c>
      <c r="H64" s="403"/>
      <c r="I64" s="404"/>
      <c r="J64" s="405"/>
      <c r="K64" s="405"/>
      <c r="L64" s="405"/>
      <c r="M64" s="13" t="s">
        <v>248</v>
      </c>
      <c r="N64" s="405"/>
      <c r="O64" s="405"/>
      <c r="P64" s="405"/>
      <c r="Q64" s="415"/>
      <c r="R64" s="358"/>
      <c r="S64" s="480"/>
      <c r="V64" s="41">
        <f>IF(AND(I64&lt;&gt;"",N64&lt;&gt;""),1,0)</f>
        <v>0</v>
      </c>
      <c r="W64" s="64"/>
      <c r="X64" s="50"/>
      <c r="AB64" s="63"/>
      <c r="AC64" s="63"/>
      <c r="AE64" s="63"/>
      <c r="AG64" s="63"/>
      <c r="AH64" s="63"/>
    </row>
    <row r="65" spans="1:51" ht="30" customHeight="1" thickBot="1" x14ac:dyDescent="0.25">
      <c r="A65" s="33"/>
      <c r="B65" s="418"/>
      <c r="C65" s="490"/>
      <c r="D65" s="491"/>
      <c r="E65" s="485"/>
      <c r="F65" s="475"/>
      <c r="G65" s="378" t="s">
        <v>217</v>
      </c>
      <c r="H65" s="379"/>
      <c r="I65" s="365"/>
      <c r="J65" s="366"/>
      <c r="K65" s="366"/>
      <c r="L65" s="366"/>
      <c r="M65" s="366"/>
      <c r="N65" s="366"/>
      <c r="O65" s="366"/>
      <c r="P65" s="366"/>
      <c r="Q65" s="367"/>
      <c r="R65" s="359"/>
      <c r="S65" s="481"/>
      <c r="V65" s="52"/>
      <c r="W65" s="53"/>
      <c r="X65" s="50"/>
      <c r="AB65" s="63"/>
      <c r="AC65" s="63"/>
      <c r="AD65" s="40" t="s">
        <v>169</v>
      </c>
      <c r="AE65" s="40" t="s">
        <v>152</v>
      </c>
      <c r="AG65" s="63"/>
      <c r="AH65" s="63"/>
      <c r="AP65" s="168" t="s">
        <v>172</v>
      </c>
    </row>
    <row r="66" spans="1:51" ht="34.950000000000003" customHeight="1" thickBot="1" x14ac:dyDescent="0.25">
      <c r="A66" s="33"/>
      <c r="B66" s="418"/>
      <c r="C66" s="400" t="s">
        <v>356</v>
      </c>
      <c r="D66" s="406"/>
      <c r="E66" s="485">
        <f>AD66</f>
        <v>0.5</v>
      </c>
      <c r="F66" s="475" t="str">
        <f>IF(Y66=0,"-",AP66)</f>
        <v>-</v>
      </c>
      <c r="G66" s="401" t="s">
        <v>257</v>
      </c>
      <c r="H66" s="403"/>
      <c r="I66" s="14" t="s">
        <v>249</v>
      </c>
      <c r="J66" s="244"/>
      <c r="K66" s="15" t="s">
        <v>250</v>
      </c>
      <c r="L66" s="501"/>
      <c r="M66" s="493"/>
      <c r="N66" s="15" t="s">
        <v>250</v>
      </c>
      <c r="O66" s="492"/>
      <c r="P66" s="493"/>
      <c r="Q66" s="54" t="s">
        <v>251</v>
      </c>
      <c r="R66" s="224" t="s">
        <v>255</v>
      </c>
      <c r="S66" s="479"/>
      <c r="V66" s="41">
        <f>IF(AND(J66&lt;&gt;"",L66&lt;&gt;"",O66&lt;&gt;""),1,0)</f>
        <v>0</v>
      </c>
      <c r="W66" s="41">
        <f>IF(S66="",0,1)</f>
        <v>0</v>
      </c>
      <c r="X66" s="42"/>
      <c r="Y66" s="22">
        <f>SUM(V66:W68)</f>
        <v>0</v>
      </c>
      <c r="Z66" s="23" t="s">
        <v>245</v>
      </c>
      <c r="AB66" s="63"/>
      <c r="AC66" s="63"/>
      <c r="AD66" s="46">
        <v>0.5</v>
      </c>
      <c r="AE66" s="25">
        <f>IF(Y66=4,AD66*V$61,0)</f>
        <v>0</v>
      </c>
      <c r="AG66" s="63"/>
      <c r="AH66" s="63"/>
      <c r="AP66" s="171">
        <f>IF(Y66=4,AE66,0)</f>
        <v>0</v>
      </c>
    </row>
    <row r="67" spans="1:51" ht="34.950000000000003" customHeight="1" thickBot="1" x14ac:dyDescent="0.25">
      <c r="A67" s="33"/>
      <c r="B67" s="418"/>
      <c r="C67" s="407"/>
      <c r="D67" s="408"/>
      <c r="E67" s="485"/>
      <c r="F67" s="475"/>
      <c r="G67" s="380" t="s">
        <v>307</v>
      </c>
      <c r="H67" s="381"/>
      <c r="I67" s="404"/>
      <c r="J67" s="405"/>
      <c r="K67" s="405"/>
      <c r="L67" s="405"/>
      <c r="M67" s="13" t="s">
        <v>253</v>
      </c>
      <c r="N67" s="405"/>
      <c r="O67" s="405"/>
      <c r="P67" s="405"/>
      <c r="Q67" s="415"/>
      <c r="R67" s="358" t="s">
        <v>280</v>
      </c>
      <c r="S67" s="480"/>
      <c r="V67" s="41">
        <f>IF(AND(I67&lt;&gt;"",N67&lt;&gt;""),1,0)</f>
        <v>0</v>
      </c>
      <c r="W67" s="49"/>
      <c r="X67" s="50"/>
      <c r="AB67" s="63"/>
      <c r="AC67" s="63"/>
      <c r="AE67" s="63"/>
      <c r="AG67" s="63"/>
      <c r="AH67" s="63"/>
    </row>
    <row r="68" spans="1:51" ht="34.950000000000003" customHeight="1" thickBot="1" x14ac:dyDescent="0.25">
      <c r="A68" s="33"/>
      <c r="B68" s="419"/>
      <c r="C68" s="409"/>
      <c r="D68" s="410"/>
      <c r="E68" s="485"/>
      <c r="F68" s="475"/>
      <c r="G68" s="401" t="s">
        <v>306</v>
      </c>
      <c r="H68" s="403"/>
      <c r="I68" s="404"/>
      <c r="J68" s="405"/>
      <c r="K68" s="405"/>
      <c r="L68" s="405"/>
      <c r="M68" s="13" t="s">
        <v>254</v>
      </c>
      <c r="N68" s="405"/>
      <c r="O68" s="405"/>
      <c r="P68" s="405"/>
      <c r="Q68" s="415"/>
      <c r="R68" s="359"/>
      <c r="S68" s="481"/>
      <c r="V68" s="41">
        <f>IF(AND(I68&lt;&gt;"",N68&lt;&gt;""),1,0)</f>
        <v>0</v>
      </c>
      <c r="W68" s="64"/>
      <c r="X68" s="50"/>
      <c r="AB68" s="63"/>
      <c r="AC68" s="63"/>
      <c r="AE68" s="63"/>
      <c r="AG68" s="63"/>
      <c r="AH68" s="63"/>
    </row>
    <row r="69" spans="1:51" s="271" customFormat="1" ht="19.95" customHeight="1" x14ac:dyDescent="0.2">
      <c r="A69" s="270"/>
      <c r="B69" s="411" t="s">
        <v>332</v>
      </c>
      <c r="C69" s="411"/>
      <c r="D69" s="411"/>
      <c r="E69" s="411"/>
      <c r="F69" s="411"/>
      <c r="G69" s="411"/>
      <c r="H69" s="411"/>
      <c r="I69" s="411"/>
      <c r="J69" s="411"/>
      <c r="K69" s="411"/>
      <c r="L69" s="411"/>
      <c r="M69" s="411"/>
      <c r="N69" s="411"/>
      <c r="O69" s="411"/>
      <c r="P69" s="411"/>
      <c r="Q69" s="411"/>
      <c r="R69" s="411"/>
      <c r="S69" s="411"/>
    </row>
    <row r="70" spans="1:51" s="273" customFormat="1" ht="16.95" customHeight="1" x14ac:dyDescent="0.2">
      <c r="A70" s="272"/>
      <c r="B70" s="416" t="s">
        <v>333</v>
      </c>
      <c r="C70" s="416"/>
      <c r="D70" s="416"/>
      <c r="E70" s="416"/>
      <c r="F70" s="416"/>
      <c r="G70" s="416"/>
      <c r="H70" s="416"/>
      <c r="I70" s="416"/>
      <c r="J70" s="416"/>
      <c r="K70" s="416"/>
      <c r="L70" s="416"/>
      <c r="M70" s="416"/>
      <c r="N70" s="416"/>
      <c r="O70" s="416"/>
      <c r="P70" s="416"/>
      <c r="Q70" s="416"/>
      <c r="R70" s="416"/>
      <c r="S70" s="416"/>
      <c r="AG70" s="274"/>
    </row>
    <row r="71" spans="1:51" s="273" customFormat="1" ht="16.95" customHeight="1" x14ac:dyDescent="0.2">
      <c r="A71" s="272"/>
      <c r="B71" s="416" t="s">
        <v>334</v>
      </c>
      <c r="C71" s="416"/>
      <c r="D71" s="416"/>
      <c r="E71" s="416"/>
      <c r="F71" s="416"/>
      <c r="G71" s="416"/>
      <c r="H71" s="416"/>
      <c r="I71" s="416"/>
      <c r="J71" s="416"/>
      <c r="K71" s="416"/>
      <c r="L71" s="416"/>
      <c r="M71" s="416"/>
      <c r="N71" s="416"/>
      <c r="O71" s="416"/>
      <c r="P71" s="416"/>
      <c r="Q71" s="416"/>
      <c r="R71" s="416"/>
      <c r="S71" s="416"/>
      <c r="AG71" s="274"/>
      <c r="AH71" s="274"/>
      <c r="AI71" s="274"/>
    </row>
    <row r="72" spans="1:51" s="273" customFormat="1" ht="16.95" customHeight="1" x14ac:dyDescent="0.2">
      <c r="A72" s="272"/>
      <c r="B72" s="416" t="s">
        <v>377</v>
      </c>
      <c r="C72" s="416"/>
      <c r="D72" s="416"/>
      <c r="E72" s="416"/>
      <c r="F72" s="416"/>
      <c r="G72" s="416"/>
      <c r="H72" s="416"/>
      <c r="I72" s="416"/>
      <c r="J72" s="416"/>
      <c r="K72" s="416"/>
      <c r="L72" s="416"/>
      <c r="M72" s="416"/>
      <c r="N72" s="416"/>
      <c r="O72" s="416"/>
      <c r="P72" s="416"/>
      <c r="Q72" s="416"/>
      <c r="R72" s="416"/>
      <c r="S72" s="416"/>
      <c r="V72" s="275"/>
      <c r="W72" s="275"/>
      <c r="X72" s="275"/>
      <c r="Y72" s="275"/>
      <c r="Z72" s="275"/>
      <c r="AA72" s="275"/>
      <c r="AB72" s="275"/>
      <c r="AC72" s="276"/>
      <c r="AD72" s="277"/>
      <c r="AE72" s="278"/>
      <c r="AF72" s="279"/>
      <c r="AG72" s="280"/>
      <c r="AM72" s="281"/>
    </row>
    <row r="73" spans="1:51" s="273" customFormat="1" ht="24" customHeight="1" x14ac:dyDescent="0.2">
      <c r="A73" s="272"/>
      <c r="B73" s="531" t="s">
        <v>357</v>
      </c>
      <c r="C73" s="531"/>
      <c r="D73" s="531"/>
      <c r="E73" s="531"/>
      <c r="F73" s="531"/>
      <c r="G73" s="531"/>
      <c r="H73" s="531"/>
      <c r="I73" s="531"/>
      <c r="J73" s="531"/>
      <c r="K73" s="531"/>
      <c r="L73" s="531"/>
      <c r="M73" s="531"/>
      <c r="N73" s="531"/>
      <c r="O73" s="531"/>
      <c r="P73" s="531"/>
      <c r="Q73" s="531"/>
      <c r="R73" s="531"/>
      <c r="S73" s="531"/>
      <c r="V73" s="275"/>
      <c r="W73" s="275"/>
      <c r="X73" s="275"/>
      <c r="Y73" s="275"/>
      <c r="Z73" s="275"/>
      <c r="AA73" s="275"/>
      <c r="AB73" s="275"/>
      <c r="AC73" s="276"/>
      <c r="AD73" s="277"/>
      <c r="AE73" s="278"/>
      <c r="AF73" s="279"/>
      <c r="AG73" s="280"/>
      <c r="AM73" s="281"/>
    </row>
    <row r="74" spans="1:51" ht="14.25" customHeight="1" x14ac:dyDescent="0.2">
      <c r="A74" s="33"/>
      <c r="B74" s="67" t="s">
        <v>277</v>
      </c>
      <c r="C74" s="68"/>
      <c r="D74" s="68"/>
      <c r="E74" s="68"/>
      <c r="F74" s="68"/>
      <c r="G74" s="68"/>
      <c r="H74" s="68"/>
      <c r="I74" s="68"/>
      <c r="J74" s="68"/>
      <c r="K74" s="68"/>
      <c r="L74" s="68"/>
      <c r="M74" s="68"/>
      <c r="N74" s="68"/>
      <c r="O74" s="68"/>
      <c r="P74" s="68"/>
      <c r="Q74" s="68"/>
      <c r="S74" s="35" t="str">
        <f>S48</f>
        <v>（地域密着型）</v>
      </c>
      <c r="AM74" s="12" t="s">
        <v>169</v>
      </c>
    </row>
    <row r="75" spans="1:51" ht="16.5" customHeight="1" thickBot="1" x14ac:dyDescent="0.25">
      <c r="A75" s="33"/>
      <c r="B75" s="472" t="s">
        <v>144</v>
      </c>
      <c r="C75" s="472"/>
      <c r="D75" s="472"/>
      <c r="E75" s="473" t="str">
        <f>E49</f>
        <v>第○○-○○○○○-○○○○号 ○○○○○○○○○○○○工事</v>
      </c>
      <c r="F75" s="473"/>
      <c r="G75" s="473"/>
      <c r="H75" s="473"/>
      <c r="I75" s="473"/>
      <c r="J75" s="473"/>
      <c r="K75" s="473"/>
      <c r="L75" s="473"/>
      <c r="M75" s="473"/>
      <c r="N75" s="473"/>
      <c r="O75" s="473"/>
      <c r="P75" s="473"/>
      <c r="Q75" s="473"/>
      <c r="R75" s="473"/>
      <c r="X75" s="50"/>
      <c r="AE75" s="60"/>
      <c r="AF75" s="61"/>
      <c r="AJ75" s="41">
        <v>0</v>
      </c>
      <c r="AK75" s="52"/>
      <c r="AL75" s="52"/>
      <c r="AM75" s="24">
        <v>0</v>
      </c>
    </row>
    <row r="76" spans="1:51" ht="16.5" customHeight="1" thickBot="1" x14ac:dyDescent="0.25">
      <c r="A76" s="33"/>
      <c r="B76" s="220"/>
      <c r="C76" s="220"/>
      <c r="D76" s="221" t="s">
        <v>145</v>
      </c>
      <c r="E76" s="222" t="str">
        <f>E50</f>
        <v>株式会社○○○○</v>
      </c>
      <c r="F76" s="223"/>
      <c r="G76" s="223"/>
      <c r="H76" s="223"/>
      <c r="I76" s="223"/>
      <c r="J76" s="223"/>
      <c r="K76" s="223"/>
      <c r="L76" s="223"/>
      <c r="M76" s="223"/>
      <c r="N76" s="223"/>
      <c r="O76" s="223"/>
      <c r="P76" s="223"/>
      <c r="Q76" s="223"/>
      <c r="R76" s="223"/>
      <c r="S76" s="33"/>
      <c r="V76" s="22">
        <f>IF(K78="",0,1)</f>
        <v>0</v>
      </c>
      <c r="W76" s="27" t="s">
        <v>349</v>
      </c>
      <c r="Z76" s="12" t="s">
        <v>272</v>
      </c>
      <c r="AA76" s="12"/>
      <c r="AB76" s="12" t="s">
        <v>152</v>
      </c>
      <c r="AE76" s="69"/>
      <c r="AF76" s="70"/>
      <c r="AG76" s="71"/>
      <c r="AJ76" s="41">
        <v>42</v>
      </c>
      <c r="AK76" s="41" t="s">
        <v>149</v>
      </c>
      <c r="AL76" s="41" t="s">
        <v>175</v>
      </c>
      <c r="AM76" s="24">
        <v>6</v>
      </c>
      <c r="AN76" s="65"/>
      <c r="AO76" s="65"/>
      <c r="AP76" s="65"/>
    </row>
    <row r="77" spans="1:51" ht="22.5" customHeight="1" thickBot="1" x14ac:dyDescent="0.25">
      <c r="A77" s="33"/>
      <c r="B77" s="420" t="s">
        <v>0</v>
      </c>
      <c r="C77" s="420"/>
      <c r="D77" s="420"/>
      <c r="E77" s="36" t="s">
        <v>174</v>
      </c>
      <c r="F77" s="37" t="s">
        <v>3</v>
      </c>
      <c r="G77" s="439" t="s">
        <v>336</v>
      </c>
      <c r="H77" s="440"/>
      <c r="I77" s="440"/>
      <c r="J77" s="440"/>
      <c r="K77" s="440"/>
      <c r="L77" s="440"/>
      <c r="M77" s="440"/>
      <c r="N77" s="440"/>
      <c r="O77" s="440"/>
      <c r="P77" s="440"/>
      <c r="Q77" s="440"/>
      <c r="R77" s="440"/>
      <c r="S77" s="441"/>
      <c r="V77" s="62">
        <f>IF(OR(R78=リスト!O4),1,0)</f>
        <v>0</v>
      </c>
      <c r="W77" s="43">
        <f>V76</f>
        <v>0</v>
      </c>
      <c r="X77" s="22">
        <f>SUM(V77:W77)</f>
        <v>0</v>
      </c>
      <c r="Y77" s="23" t="s">
        <v>358</v>
      </c>
      <c r="Z77" s="41">
        <v>0.5</v>
      </c>
      <c r="AA77" s="41">
        <f>V77*Z77</f>
        <v>0</v>
      </c>
      <c r="AB77" s="215" t="str">
        <f>IF(V76=1,MAX(AA77:AA78),"-")</f>
        <v>-</v>
      </c>
      <c r="AC77" s="72" t="s">
        <v>212</v>
      </c>
      <c r="AE77" s="73">
        <v>1</v>
      </c>
      <c r="AF77" s="74">
        <f>V79*AE77</f>
        <v>0</v>
      </c>
      <c r="AG77" s="75" t="str">
        <f>IF('1.基本データ(このシートは削除しないこと！)'!H16=1,MAX(AF77:AF78),"-")</f>
        <v>-</v>
      </c>
      <c r="AJ77" s="41">
        <v>41</v>
      </c>
      <c r="AK77" s="41" t="s">
        <v>149</v>
      </c>
      <c r="AL77" s="41" t="s">
        <v>27</v>
      </c>
      <c r="AM77" s="24">
        <v>5</v>
      </c>
      <c r="AX77" s="66"/>
      <c r="AY77" s="50"/>
    </row>
    <row r="78" spans="1:51" ht="33" customHeight="1" thickBot="1" x14ac:dyDescent="0.25">
      <c r="A78" s="33"/>
      <c r="B78" s="417" t="s">
        <v>195</v>
      </c>
      <c r="C78" s="382" t="s">
        <v>258</v>
      </c>
      <c r="D78" s="515"/>
      <c r="E78" s="131">
        <f>Z77</f>
        <v>0.5</v>
      </c>
      <c r="F78" s="132" t="str">
        <f>AQ80</f>
        <v>-</v>
      </c>
      <c r="G78" s="387" t="s">
        <v>385</v>
      </c>
      <c r="H78" s="388"/>
      <c r="I78" s="336" t="s">
        <v>342</v>
      </c>
      <c r="J78" s="337"/>
      <c r="K78" s="371"/>
      <c r="L78" s="372"/>
      <c r="M78" s="372"/>
      <c r="N78" s="372"/>
      <c r="O78" s="372"/>
      <c r="P78" s="372"/>
      <c r="Q78" s="373"/>
      <c r="R78" s="372" t="s">
        <v>173</v>
      </c>
      <c r="S78" s="373"/>
      <c r="V78" s="62">
        <f>IF(OR(R78=リスト!O5),1,0)</f>
        <v>0</v>
      </c>
      <c r="W78" s="62">
        <f>V76</f>
        <v>0</v>
      </c>
      <c r="X78" s="214">
        <f>SUM(V78:W78)</f>
        <v>0</v>
      </c>
      <c r="Y78" s="23" t="s">
        <v>271</v>
      </c>
      <c r="Z78" s="46">
        <v>0.25</v>
      </c>
      <c r="AA78" s="41">
        <f>V78*Z78</f>
        <v>0</v>
      </c>
      <c r="AB78" s="215" t="str">
        <f>IF(V76=1,MAX(AA77:AA78),"-")</f>
        <v>-</v>
      </c>
      <c r="AC78" s="76" t="s">
        <v>213</v>
      </c>
      <c r="AE78" s="77">
        <v>0.5</v>
      </c>
      <c r="AF78" s="78">
        <f>W79*AE78</f>
        <v>0</v>
      </c>
      <c r="AG78" s="79">
        <f>IF('1.基本データ(このシートは削除しないこと！)'!H16=10,AF78,"-")</f>
        <v>0</v>
      </c>
      <c r="AJ78" s="41">
        <v>40</v>
      </c>
      <c r="AK78" s="41" t="s">
        <v>149</v>
      </c>
      <c r="AL78" s="41" t="s">
        <v>5</v>
      </c>
      <c r="AM78" s="24">
        <v>3</v>
      </c>
      <c r="AY78" s="50"/>
    </row>
    <row r="79" spans="1:51" ht="33" customHeight="1" thickBot="1" x14ac:dyDescent="0.25">
      <c r="A79" s="33"/>
      <c r="B79" s="418"/>
      <c r="C79" s="535" t="s">
        <v>369</v>
      </c>
      <c r="D79" s="536"/>
      <c r="E79" s="186">
        <f>AE77</f>
        <v>1</v>
      </c>
      <c r="F79" s="184" t="str">
        <f>AQ81</f>
        <v>-</v>
      </c>
      <c r="G79" s="385" t="s">
        <v>368</v>
      </c>
      <c r="H79" s="386"/>
      <c r="I79" s="344" t="s">
        <v>330</v>
      </c>
      <c r="J79" s="344"/>
      <c r="K79" s="338" t="s">
        <v>173</v>
      </c>
      <c r="L79" s="339"/>
      <c r="M79" s="339"/>
      <c r="N79" s="339"/>
      <c r="O79" s="339"/>
      <c r="P79" s="339"/>
      <c r="Q79" s="339"/>
      <c r="R79" s="339"/>
      <c r="S79" s="340"/>
      <c r="V79" s="41">
        <f>IF(AND('1.基本データ(このシートは削除しないこと！)'!$H$16=1,'2.様式第1号、第11号-2(地域密着型)'!$K$79=リスト!K9),1,0)</f>
        <v>0</v>
      </c>
      <c r="W79" s="41">
        <f>IF(AND('1.基本データ(このシートは削除しないこと！)'!$H$16=1,'2.様式第1号、第11号-2(地域密着型)'!$K$79=リスト!K10),1,0)</f>
        <v>0</v>
      </c>
      <c r="X79" s="41">
        <f>IF(AND('1.基本データ(このシートは削除しないこと！)'!$H$16&gt;1,'2.様式第1号、第11号-2(地域密着型)'!$K$79=リスト!K11),1,0)</f>
        <v>0</v>
      </c>
      <c r="Y79" s="27">
        <f>SUM(V79:X79)</f>
        <v>0</v>
      </c>
      <c r="Z79" s="81" t="s">
        <v>211</v>
      </c>
      <c r="AC79" s="82" t="s">
        <v>214</v>
      </c>
      <c r="AE79" s="77">
        <v>1</v>
      </c>
      <c r="AF79" s="78">
        <f>X79*AE79</f>
        <v>0</v>
      </c>
      <c r="AG79" s="79">
        <f>IF('1.基本データ(このシートは削除しないこと！)'!H16&gt;1,AF79,"-")</f>
        <v>0</v>
      </c>
      <c r="AJ79" s="41">
        <v>32</v>
      </c>
      <c r="AK79" s="41" t="s">
        <v>150</v>
      </c>
      <c r="AL79" s="41" t="s">
        <v>175</v>
      </c>
      <c r="AM79" s="24">
        <v>3</v>
      </c>
      <c r="AQ79" s="168" t="s">
        <v>172</v>
      </c>
      <c r="AS79" s="65" t="s">
        <v>199</v>
      </c>
      <c r="AY79" s="66"/>
    </row>
    <row r="80" spans="1:51" ht="32.1" customHeight="1" thickBot="1" x14ac:dyDescent="0.25">
      <c r="A80" s="33"/>
      <c r="B80" s="418"/>
      <c r="C80" s="421" t="s">
        <v>270</v>
      </c>
      <c r="D80" s="422"/>
      <c r="E80" s="442">
        <f>AM76</f>
        <v>6</v>
      </c>
      <c r="F80" s="528" t="str">
        <f>IF(OR(K81="-",K82="-"),"-",AQ87)</f>
        <v>-</v>
      </c>
      <c r="G80" s="392" t="s">
        <v>218</v>
      </c>
      <c r="H80" s="393"/>
      <c r="I80" s="393"/>
      <c r="J80" s="393"/>
      <c r="K80" s="393"/>
      <c r="L80" s="393"/>
      <c r="M80" s="393"/>
      <c r="N80" s="393"/>
      <c r="O80" s="393"/>
      <c r="P80" s="393"/>
      <c r="Q80" s="394"/>
      <c r="R80" s="326" t="s">
        <v>386</v>
      </c>
      <c r="S80" s="327"/>
      <c r="Z80" s="165" t="s">
        <v>236</v>
      </c>
      <c r="AA80" s="164"/>
      <c r="AB80" s="164"/>
      <c r="AC80" s="164"/>
      <c r="AE80" s="166" t="s">
        <v>153</v>
      </c>
      <c r="AF80" s="166"/>
      <c r="AG80" s="166"/>
      <c r="AJ80" s="41">
        <v>31</v>
      </c>
      <c r="AK80" s="41" t="s">
        <v>150</v>
      </c>
      <c r="AL80" s="41" t="s">
        <v>27</v>
      </c>
      <c r="AM80" s="24">
        <v>2.5</v>
      </c>
      <c r="AO80" s="80" t="s">
        <v>207</v>
      </c>
      <c r="AQ80" s="177" t="str">
        <f>IF(V76=1,MAX(AB77:AB78),"-")</f>
        <v>-</v>
      </c>
      <c r="AS80" s="12" t="s">
        <v>221</v>
      </c>
      <c r="AT80" s="167" t="s">
        <v>153</v>
      </c>
      <c r="AY80" s="66"/>
    </row>
    <row r="81" spans="1:54" ht="32.1" customHeight="1" thickBot="1" x14ac:dyDescent="0.25">
      <c r="A81" s="33"/>
      <c r="B81" s="418"/>
      <c r="C81" s="423"/>
      <c r="D81" s="424"/>
      <c r="E81" s="443"/>
      <c r="F81" s="529"/>
      <c r="G81" s="391" t="s">
        <v>259</v>
      </c>
      <c r="H81" s="385"/>
      <c r="I81" s="344" t="s">
        <v>330</v>
      </c>
      <c r="J81" s="344"/>
      <c r="K81" s="341" t="s">
        <v>173</v>
      </c>
      <c r="L81" s="342"/>
      <c r="M81" s="342"/>
      <c r="N81" s="342"/>
      <c r="O81" s="342"/>
      <c r="P81" s="342"/>
      <c r="Q81" s="343"/>
      <c r="R81" s="326"/>
      <c r="S81" s="327"/>
      <c r="T81" s="85"/>
      <c r="U81" s="85"/>
      <c r="V81" s="8" t="s">
        <v>215</v>
      </c>
      <c r="W81" s="86" t="str">
        <f>VLOOKUP(K81,リスト2!$C$3:$E$65,2,FALSE)</f>
        <v>-</v>
      </c>
      <c r="X81" s="87"/>
      <c r="Z81" s="88" t="s">
        <v>154</v>
      </c>
      <c r="AA81" s="89" t="s">
        <v>312</v>
      </c>
      <c r="AB81" s="89" t="s">
        <v>231</v>
      </c>
      <c r="AC81" s="90">
        <f>IF(K81="-",0,MAX(AC82:AC85))</f>
        <v>0</v>
      </c>
      <c r="AE81" s="88" t="s">
        <v>154</v>
      </c>
      <c r="AF81" s="89" t="s">
        <v>231</v>
      </c>
      <c r="AG81" s="90">
        <f>IF(K84="-",0,MAX(AG82:AG85))</f>
        <v>0</v>
      </c>
      <c r="AH81" s="22">
        <f>AC81-AG81</f>
        <v>0</v>
      </c>
      <c r="AJ81" s="41">
        <v>30</v>
      </c>
      <c r="AK81" s="41" t="s">
        <v>150</v>
      </c>
      <c r="AL81" s="41" t="s">
        <v>5</v>
      </c>
      <c r="AM81" s="24">
        <v>1.5</v>
      </c>
      <c r="AO81" s="80" t="s">
        <v>207</v>
      </c>
      <c r="AQ81" s="177" t="str">
        <f>IF(Y79=1,MAX(AG77:AG79),"-")</f>
        <v>-</v>
      </c>
      <c r="AS81" s="28">
        <f>IF($W83="同一市町村",1,10)</f>
        <v>10</v>
      </c>
      <c r="AT81" s="28">
        <f>IF($W86="同一市町村",1,10)</f>
        <v>10</v>
      </c>
      <c r="AW81" s="28">
        <f>IF(OR(W83="同一市町村",W83="同一土木"),1,0)</f>
        <v>0</v>
      </c>
      <c r="AX81" s="65" t="s">
        <v>287</v>
      </c>
      <c r="AY81" s="66"/>
    </row>
    <row r="82" spans="1:54" ht="32.1" customHeight="1" thickBot="1" x14ac:dyDescent="0.25">
      <c r="A82" s="33"/>
      <c r="B82" s="418"/>
      <c r="C82" s="423"/>
      <c r="D82" s="424"/>
      <c r="E82" s="443"/>
      <c r="F82" s="529"/>
      <c r="G82" s="395" t="s">
        <v>260</v>
      </c>
      <c r="H82" s="374"/>
      <c r="I82" s="344" t="s">
        <v>330</v>
      </c>
      <c r="J82" s="344"/>
      <c r="K82" s="371" t="s">
        <v>173</v>
      </c>
      <c r="L82" s="372"/>
      <c r="M82" s="372"/>
      <c r="N82" s="372"/>
      <c r="O82" s="372"/>
      <c r="P82" s="372"/>
      <c r="Q82" s="373"/>
      <c r="R82" s="326"/>
      <c r="S82" s="327"/>
      <c r="T82" s="85"/>
      <c r="U82" s="85"/>
      <c r="V82" s="8" t="s">
        <v>216</v>
      </c>
      <c r="W82" s="86" t="str">
        <f>VLOOKUP(K81,リスト2!$C$3:$E$65,3,FALSE)</f>
        <v>-</v>
      </c>
      <c r="X82" s="87"/>
      <c r="Z82" s="62">
        <f>IF(OR(K81='1.基本データ(このシートは削除しないこと！)'!D19,K81='1.基本データ(このシートは削除しないこと！)'!E19),40,0)</f>
        <v>40</v>
      </c>
      <c r="AA82" s="62">
        <f>IF(OR(K82="本店"),2,0)</f>
        <v>0</v>
      </c>
      <c r="AB82" s="62">
        <f>IF(OR(K82="準本店"),1,0)</f>
        <v>0</v>
      </c>
      <c r="AC82" s="62">
        <f>SUM(Z82:AB82)</f>
        <v>40</v>
      </c>
      <c r="AD82" s="27" t="s">
        <v>121</v>
      </c>
      <c r="AE82" s="62">
        <f>IF(OR(K84='1.基本データ(このシートは削除しないこと！)'!D19,'2.様式第1号、第11号-2(地域密着型)'!K84='1.基本データ(このシートは削除しないこと！)'!E19),40,0)</f>
        <v>40</v>
      </c>
      <c r="AF82" s="62">
        <f>IF(K85="準本店",1,0)</f>
        <v>0</v>
      </c>
      <c r="AG82" s="62">
        <f>SUM(AE82:AF82)</f>
        <v>40</v>
      </c>
      <c r="AH82" s="27" t="s">
        <v>157</v>
      </c>
      <c r="AJ82" s="41">
        <v>22</v>
      </c>
      <c r="AK82" s="41" t="s">
        <v>151</v>
      </c>
      <c r="AL82" s="41" t="s">
        <v>175</v>
      </c>
      <c r="AM82" s="189"/>
      <c r="AO82" s="190" t="e">
        <f>VLOOKUP(AB81,AJ76:AL87,3,FALSE)</f>
        <v>#N/A</v>
      </c>
      <c r="AS82" s="28">
        <f>IF($W83="同一土木",2,10)</f>
        <v>10</v>
      </c>
      <c r="AT82" s="83">
        <f>IF($W86="同一土木",2,10)</f>
        <v>10</v>
      </c>
      <c r="AU82" s="84"/>
      <c r="AV82" s="65"/>
      <c r="AW82" s="28">
        <f>IF(OR(AG82=41,AG83=31),1,0)</f>
        <v>0</v>
      </c>
      <c r="AX82" s="65" t="s">
        <v>288</v>
      </c>
      <c r="AY82" s="66"/>
    </row>
    <row r="83" spans="1:54" ht="32.1" customHeight="1" thickBot="1" x14ac:dyDescent="0.25">
      <c r="A83" s="33"/>
      <c r="B83" s="418"/>
      <c r="C83" s="423"/>
      <c r="D83" s="424"/>
      <c r="E83" s="443"/>
      <c r="F83" s="529"/>
      <c r="G83" s="392" t="s">
        <v>234</v>
      </c>
      <c r="H83" s="393"/>
      <c r="I83" s="393"/>
      <c r="J83" s="393"/>
      <c r="K83" s="393"/>
      <c r="L83" s="393"/>
      <c r="M83" s="393"/>
      <c r="N83" s="393"/>
      <c r="O83" s="393"/>
      <c r="P83" s="393"/>
      <c r="Q83" s="394"/>
      <c r="R83" s="326"/>
      <c r="S83" s="327"/>
      <c r="T83" s="85"/>
      <c r="U83" s="85"/>
      <c r="V83" s="8" t="s">
        <v>219</v>
      </c>
      <c r="W83" s="9" t="str">
        <f>IF(K81="-","-",VLOOKUP($AC$81,AJ75:AM87,2,FALSE))</f>
        <v>-</v>
      </c>
      <c r="X83" s="9" t="str">
        <f>IF(K82="本店","本店",IF(K82="準本店","準本店","支店等"))</f>
        <v>支店等</v>
      </c>
      <c r="Z83" s="41">
        <f>IF(OR(W81='1.基本データ(このシートは削除しないこと！)'!D20,W81='1.基本データ(このシートは削除しないこと！)'!E20),30,0)</f>
        <v>30</v>
      </c>
      <c r="AA83" s="41">
        <f>IF(OR(K82="本店"),2,0)</f>
        <v>0</v>
      </c>
      <c r="AB83" s="41">
        <f>IF(OR(K82="準本店"),1,0)</f>
        <v>0</v>
      </c>
      <c r="AC83" s="62">
        <f t="shared" ref="AC83:AC85" si="4">SUM(Z83:AB83)</f>
        <v>30</v>
      </c>
      <c r="AD83" s="27" t="s">
        <v>158</v>
      </c>
      <c r="AE83" s="41">
        <f>IF(OR(W84='1.基本データ(このシートは削除しないこと！)'!D20,'2.様式第1号、第11号-2(地域密着型)'!W84='1.基本データ(このシートは削除しないこと！)'!E20),30,0)</f>
        <v>30</v>
      </c>
      <c r="AF83" s="62">
        <f>IF(K85="準本店",1,0)</f>
        <v>0</v>
      </c>
      <c r="AG83" s="62">
        <f>SUM(AE83:AF83)</f>
        <v>30</v>
      </c>
      <c r="AH83" s="27" t="s">
        <v>158</v>
      </c>
      <c r="AJ83" s="41">
        <v>21</v>
      </c>
      <c r="AK83" s="41" t="s">
        <v>151</v>
      </c>
      <c r="AL83" s="41" t="s">
        <v>27</v>
      </c>
      <c r="AM83" s="189"/>
      <c r="AN83" s="80"/>
      <c r="AO83" s="191" t="s">
        <v>152</v>
      </c>
      <c r="AP83" s="192"/>
      <c r="AS83" s="28">
        <f>IF($W83="同一建設",3,10)</f>
        <v>10</v>
      </c>
      <c r="AT83" s="28">
        <f>IF($W86="同一建設",3,10)</f>
        <v>10</v>
      </c>
      <c r="AW83" s="193">
        <f>IF(OR(AW81=1,AW82=1),1,0)</f>
        <v>0</v>
      </c>
      <c r="AX83" s="65" t="s">
        <v>289</v>
      </c>
    </row>
    <row r="84" spans="1:54" ht="32.1" customHeight="1" thickBot="1" x14ac:dyDescent="0.25">
      <c r="A84" s="33"/>
      <c r="B84" s="418"/>
      <c r="C84" s="423"/>
      <c r="D84" s="424"/>
      <c r="E84" s="443"/>
      <c r="F84" s="529"/>
      <c r="G84" s="391" t="s">
        <v>261</v>
      </c>
      <c r="H84" s="385"/>
      <c r="I84" s="344" t="s">
        <v>330</v>
      </c>
      <c r="J84" s="344"/>
      <c r="K84" s="341" t="s">
        <v>173</v>
      </c>
      <c r="L84" s="342"/>
      <c r="M84" s="342"/>
      <c r="N84" s="342"/>
      <c r="O84" s="342"/>
      <c r="P84" s="342"/>
      <c r="Q84" s="343"/>
      <c r="R84" s="326"/>
      <c r="S84" s="327"/>
      <c r="T84" s="85"/>
      <c r="U84" s="85"/>
      <c r="V84" s="8" t="s">
        <v>220</v>
      </c>
      <c r="W84" s="86" t="str">
        <f>VLOOKUP(K84,リスト2!$C$3:$E$65,2,FALSE)</f>
        <v>-</v>
      </c>
      <c r="X84" s="86" t="str">
        <f>IF(K85="準本店","準本店","-")</f>
        <v>-</v>
      </c>
      <c r="Z84" s="41">
        <f>IF(OR(W82='1.基本データ(このシートは削除しないこと！)'!D21,W82='1.基本データ(このシートは削除しないこと！)'!E21),20,0)</f>
        <v>20</v>
      </c>
      <c r="AA84" s="41">
        <f>IF(OR(K82="本店"),2,0)</f>
        <v>0</v>
      </c>
      <c r="AB84" s="41">
        <f>IF(OR(K82="準本店"),1,0)</f>
        <v>0</v>
      </c>
      <c r="AC84" s="62">
        <f t="shared" si="4"/>
        <v>20</v>
      </c>
      <c r="AD84" s="27" t="s">
        <v>159</v>
      </c>
      <c r="AE84" s="41">
        <f>IF(OR(W85='1.基本データ(このシートは削除しないこと！)'!D21,'2.様式第1号、第11号-2(地域密着型)'!W85='1.基本データ(このシートは削除しないこと！)'!E21),20,0)</f>
        <v>20</v>
      </c>
      <c r="AF84" s="41">
        <f>IF(K85="準本店",1,0)</f>
        <v>0</v>
      </c>
      <c r="AG84" s="62">
        <f>SUM(AE84:AF84)</f>
        <v>20</v>
      </c>
      <c r="AH84" s="27" t="s">
        <v>159</v>
      </c>
      <c r="AJ84" s="41">
        <v>20</v>
      </c>
      <c r="AK84" s="41" t="s">
        <v>151</v>
      </c>
      <c r="AL84" s="41" t="s">
        <v>5</v>
      </c>
      <c r="AM84" s="189"/>
      <c r="AN84" s="80"/>
      <c r="AO84" s="194" t="s">
        <v>155</v>
      </c>
      <c r="AP84" s="194" t="s">
        <v>153</v>
      </c>
      <c r="AS84" s="28">
        <f>IF($W83="県内",4,10)</f>
        <v>10</v>
      </c>
      <c r="AT84" s="28">
        <f>IF($W86="県内",4,10)</f>
        <v>10</v>
      </c>
    </row>
    <row r="85" spans="1:54" ht="32.1" customHeight="1" thickTop="1" thickBot="1" x14ac:dyDescent="0.25">
      <c r="A85" s="33"/>
      <c r="B85" s="418"/>
      <c r="C85" s="423"/>
      <c r="D85" s="424"/>
      <c r="E85" s="443"/>
      <c r="F85" s="529"/>
      <c r="G85" s="389" t="s">
        <v>262</v>
      </c>
      <c r="H85" s="390"/>
      <c r="I85" s="344" t="s">
        <v>330</v>
      </c>
      <c r="J85" s="344"/>
      <c r="K85" s="371" t="s">
        <v>173</v>
      </c>
      <c r="L85" s="372"/>
      <c r="M85" s="372"/>
      <c r="N85" s="372"/>
      <c r="O85" s="372"/>
      <c r="P85" s="372"/>
      <c r="Q85" s="373"/>
      <c r="R85" s="326"/>
      <c r="S85" s="327"/>
      <c r="T85" s="93"/>
      <c r="U85" s="93"/>
      <c r="V85" s="8" t="s">
        <v>216</v>
      </c>
      <c r="W85" s="86" t="str">
        <f>VLOOKUP(K84,リスト2!$C$3:$E$65,3,FALSE)</f>
        <v>-</v>
      </c>
      <c r="X85" s="86" t="str">
        <f>IF(K85="準本店","準本店","-")</f>
        <v>-</v>
      </c>
      <c r="Z85" s="52">
        <f>IF(OR(W82='1.基本データ(このシートは削除しないこと！)'!D21,W82='1.基本データ(このシートは削除しないこと！)'!E21),0,10)</f>
        <v>0</v>
      </c>
      <c r="AA85" s="52">
        <f>IF(OR(K82="本店"),2,0)</f>
        <v>0</v>
      </c>
      <c r="AB85" s="52">
        <f>IF(OR(K82="準本店"),1,0)</f>
        <v>0</v>
      </c>
      <c r="AC85" s="52">
        <f t="shared" si="4"/>
        <v>0</v>
      </c>
      <c r="AD85" s="27" t="s">
        <v>6</v>
      </c>
      <c r="AE85" s="52">
        <f>IF(OR(W85='1.基本データ(このシートは削除しないこと！)'!D21,'2.様式第1号、第11号-2(地域密着型)'!W85='1.基本データ(このシートは削除しないこと！)'!E21),0,10)</f>
        <v>0</v>
      </c>
      <c r="AF85" s="52">
        <f>IF(K85="準本店",1,0)</f>
        <v>0</v>
      </c>
      <c r="AG85" s="52">
        <f>SUM(AE85:AF85)</f>
        <v>0</v>
      </c>
      <c r="AH85" s="27" t="s">
        <v>156</v>
      </c>
      <c r="AJ85" s="41">
        <v>12</v>
      </c>
      <c r="AK85" s="41" t="s">
        <v>6</v>
      </c>
      <c r="AL85" s="41" t="s">
        <v>175</v>
      </c>
      <c r="AM85" s="189"/>
      <c r="AN85" s="195" t="s">
        <v>283</v>
      </c>
      <c r="AO85" s="24" t="e">
        <f>IF(AND('1.基本データ(このシートは削除しないこと！)'!H17=2,AC81&gt;=30),VLOOKUP(AC81,AJ75:AM81,4,0),0)</f>
        <v>#N/A</v>
      </c>
      <c r="AP85" s="24" t="e">
        <f>IF(AND('1.基本データ(このシートは削除しないこと！)'!H17=2,AG81&gt;=30),VLOOKUP(AG81,AJ75:AM81,4,0),0)</f>
        <v>#N/A</v>
      </c>
      <c r="AS85" s="91">
        <f>MIN(AS81:AS84)</f>
        <v>10</v>
      </c>
      <c r="AT85" s="91">
        <f>MIN(AT81:AT84)</f>
        <v>10</v>
      </c>
      <c r="AU85" s="66"/>
      <c r="AV85" s="92"/>
    </row>
    <row r="86" spans="1:54" ht="19.95" customHeight="1" thickBot="1" x14ac:dyDescent="0.25">
      <c r="A86" s="33"/>
      <c r="B86" s="418"/>
      <c r="C86" s="423"/>
      <c r="D86" s="424"/>
      <c r="E86" s="443"/>
      <c r="F86" s="529"/>
      <c r="G86" s="16" t="s">
        <v>263</v>
      </c>
      <c r="H86" s="17"/>
      <c r="I86" s="17"/>
      <c r="J86" s="18"/>
      <c r="K86" s="532" t="str">
        <f>IF(K81="-","-",W87)</f>
        <v>-</v>
      </c>
      <c r="L86" s="533"/>
      <c r="M86" s="533"/>
      <c r="N86" s="533"/>
      <c r="O86" s="533"/>
      <c r="P86" s="533"/>
      <c r="Q86" s="534"/>
      <c r="R86" s="326"/>
      <c r="S86" s="327"/>
      <c r="T86" s="93"/>
      <c r="U86" s="93"/>
      <c r="V86" s="10" t="s">
        <v>219</v>
      </c>
      <c r="W86" s="11" t="str">
        <f>IF(K84="-","-",VLOOKUP(AG81,AJ76:AM87,2,FALSE))</f>
        <v>-</v>
      </c>
      <c r="X86" s="11" t="str">
        <f>IF(K84="-","-",VLOOKUP($AG$81,AJ78:AM86,3,FALSE))</f>
        <v>-</v>
      </c>
      <c r="Y86" s="94"/>
      <c r="Z86" s="95"/>
      <c r="AE86" s="41">
        <f>IF(K85="-",0,1)</f>
        <v>0</v>
      </c>
      <c r="AF86" s="50"/>
      <c r="AG86" s="50"/>
      <c r="AH86" s="80"/>
      <c r="AJ86" s="41">
        <v>11</v>
      </c>
      <c r="AK86" s="41" t="s">
        <v>6</v>
      </c>
      <c r="AL86" s="41" t="s">
        <v>27</v>
      </c>
      <c r="AM86" s="189"/>
      <c r="AN86" s="195" t="s">
        <v>284</v>
      </c>
      <c r="AO86" s="24" t="e">
        <f>IF(AND('1.基本データ(このシートは削除しないこと！)'!H17=3,AC81&gt;=20),VLOOKUP(AC81,AJ75:AM84,4,0),0)</f>
        <v>#N/A</v>
      </c>
      <c r="AP86" s="24" t="e">
        <f>IF(AND('1.基本データ(このシートは削除しないこと！)'!H17=3,AG81&gt;=20),VLOOKUP(AG81,AJ75:AM84,4,0),0)</f>
        <v>#N/A</v>
      </c>
      <c r="AQ86" s="172" t="s">
        <v>172</v>
      </c>
      <c r="AT86" s="28">
        <f>MIN(AS85:AT85)</f>
        <v>10</v>
      </c>
      <c r="AU86" s="65" t="s">
        <v>200</v>
      </c>
    </row>
    <row r="87" spans="1:54" ht="19.95" customHeight="1" thickBot="1" x14ac:dyDescent="0.25">
      <c r="A87" s="33"/>
      <c r="B87" s="419"/>
      <c r="C87" s="425"/>
      <c r="D87" s="426"/>
      <c r="E87" s="444"/>
      <c r="F87" s="530"/>
      <c r="G87" s="19"/>
      <c r="H87" s="20"/>
      <c r="I87" s="20"/>
      <c r="J87" s="21" t="s">
        <v>343</v>
      </c>
      <c r="K87" s="321" t="str">
        <f>IF(K82="-","-",X87)</f>
        <v>-</v>
      </c>
      <c r="L87" s="322"/>
      <c r="M87" s="322"/>
      <c r="N87" s="322"/>
      <c r="O87" s="322"/>
      <c r="P87" s="322"/>
      <c r="Q87" s="323"/>
      <c r="R87" s="328"/>
      <c r="S87" s="329"/>
      <c r="T87" s="93"/>
      <c r="U87" s="93"/>
      <c r="V87" s="8" t="s">
        <v>235</v>
      </c>
      <c r="W87" s="96" t="str">
        <f>IF(AH81&gt;=0,W83,W86)</f>
        <v>-</v>
      </c>
      <c r="X87" s="96" t="str">
        <f>IF(AH81&gt;=0,X83,X86)</f>
        <v>支店等</v>
      </c>
      <c r="Y87" s="196">
        <f>IF(OR(W83="同一市町村",W83="同一土木"),1,0)*IF(OR(X83="本店",X83="準本店"),1,0)</f>
        <v>0</v>
      </c>
      <c r="Z87" s="197" t="s">
        <v>290</v>
      </c>
      <c r="AE87" s="50"/>
      <c r="AF87" s="50"/>
      <c r="AG87" s="50"/>
      <c r="AH87" s="80"/>
      <c r="AJ87" s="41">
        <v>10</v>
      </c>
      <c r="AK87" s="41" t="s">
        <v>6</v>
      </c>
      <c r="AL87" s="41" t="s">
        <v>5</v>
      </c>
      <c r="AM87" s="189"/>
      <c r="AN87" s="195" t="s">
        <v>285</v>
      </c>
      <c r="AO87" s="24" t="e">
        <f>IF(AND('1.基本データ(このシートは削除しないこと！)'!H17=4,AC81&gt;=10),VLOOKUP(AC81,AJ75:AM87,4,0),0)</f>
        <v>#N/A</v>
      </c>
      <c r="AP87" s="24" t="e">
        <f>IF(AND('1.基本データ(このシートは削除しないこと！)'!H17=4,AG81&gt;=10),VLOOKUP(AG81,AJ75:AM87,4,0),0)</f>
        <v>#N/A</v>
      </c>
      <c r="AQ87" s="198" t="e">
        <f>MAX(AO85:AP87)</f>
        <v>#N/A</v>
      </c>
      <c r="AT87" s="22" t="e">
        <f>IF(AT86&lt;='1.基本データ(このシートは削除しないこと！)'!H17,1,0)</f>
        <v>#N/A</v>
      </c>
      <c r="AU87" s="27" t="s">
        <v>222</v>
      </c>
    </row>
    <row r="88" spans="1:54" ht="24" customHeight="1" thickBot="1" x14ac:dyDescent="0.25">
      <c r="A88" s="33"/>
      <c r="B88" s="324" t="str">
        <f>IF(Y87=0,"※入札参加者が同一土木事務所管内の本店又は準本店でないため、「ボランティア活動」と「選択項目」は評価対象外です。","")</f>
        <v>※入札参加者が同一土木事務所管内の本店又は準本店でないため、「ボランティア活動」と「選択項目」は評価対象外です。</v>
      </c>
      <c r="C88" s="324"/>
      <c r="D88" s="324"/>
      <c r="E88" s="324"/>
      <c r="F88" s="324"/>
      <c r="G88" s="324"/>
      <c r="H88" s="324"/>
      <c r="I88" s="325"/>
      <c r="J88" s="325"/>
      <c r="K88" s="325"/>
      <c r="L88" s="325"/>
      <c r="M88" s="325"/>
      <c r="N88" s="325"/>
      <c r="O88" s="325"/>
      <c r="P88" s="325"/>
      <c r="Q88" s="325"/>
      <c r="R88" s="325"/>
      <c r="S88" s="324"/>
      <c r="T88" s="93"/>
      <c r="U88" s="93"/>
      <c r="V88" s="50"/>
      <c r="W88" s="97"/>
      <c r="X88" s="98"/>
      <c r="Y88" s="98"/>
      <c r="Z88" s="99"/>
      <c r="AD88" s="50"/>
      <c r="AE88" s="50"/>
      <c r="AF88" s="50"/>
      <c r="AG88" s="80"/>
      <c r="AJ88" s="50"/>
      <c r="AK88" s="50"/>
      <c r="AL88" s="50"/>
      <c r="AM88" s="50"/>
      <c r="AN88" s="50"/>
      <c r="AO88" s="50"/>
      <c r="AR88" s="27" t="s">
        <v>223</v>
      </c>
    </row>
    <row r="89" spans="1:54" ht="32.1" customHeight="1" thickBot="1" x14ac:dyDescent="0.25">
      <c r="A89" s="33"/>
      <c r="B89" s="420" t="s">
        <v>0</v>
      </c>
      <c r="C89" s="420"/>
      <c r="D89" s="420"/>
      <c r="E89" s="36" t="s">
        <v>174</v>
      </c>
      <c r="F89" s="37" t="s">
        <v>3</v>
      </c>
      <c r="G89" s="396" t="s">
        <v>344</v>
      </c>
      <c r="H89" s="397"/>
      <c r="I89" s="397"/>
      <c r="J89" s="397"/>
      <c r="K89" s="397"/>
      <c r="L89" s="397"/>
      <c r="M89" s="397"/>
      <c r="N89" s="397"/>
      <c r="O89" s="397"/>
      <c r="P89" s="397"/>
      <c r="Q89" s="398"/>
      <c r="R89" s="26" t="s">
        <v>239</v>
      </c>
      <c r="S89" s="100" t="s">
        <v>240</v>
      </c>
      <c r="T89" s="93"/>
      <c r="U89" s="93"/>
      <c r="V89" s="101" t="s">
        <v>166</v>
      </c>
      <c r="W89" s="101" t="s">
        <v>208</v>
      </c>
      <c r="X89" s="101" t="s">
        <v>225</v>
      </c>
      <c r="Y89" s="102" t="s">
        <v>160</v>
      </c>
      <c r="Z89" s="103" t="s">
        <v>162</v>
      </c>
      <c r="AA89" s="104" t="s">
        <v>161</v>
      </c>
      <c r="AB89" s="103" t="s">
        <v>163</v>
      </c>
      <c r="AC89" s="104" t="s">
        <v>164</v>
      </c>
      <c r="AD89" s="105" t="s">
        <v>165</v>
      </c>
      <c r="AE89" s="105" t="s">
        <v>209</v>
      </c>
      <c r="AF89" s="199" t="s">
        <v>291</v>
      </c>
      <c r="AG89" s="106" t="s">
        <v>167</v>
      </c>
      <c r="AH89" s="106" t="s">
        <v>168</v>
      </c>
      <c r="AI89" s="106" t="s">
        <v>210</v>
      </c>
      <c r="AK89" s="106" t="s">
        <v>170</v>
      </c>
      <c r="AL89" s="106" t="s">
        <v>171</v>
      </c>
      <c r="AM89" s="106" t="s">
        <v>210</v>
      </c>
      <c r="AN89" s="200" t="s">
        <v>283</v>
      </c>
      <c r="AO89" s="200" t="s">
        <v>286</v>
      </c>
      <c r="AP89" s="201" t="s">
        <v>285</v>
      </c>
      <c r="AQ89" s="172" t="s">
        <v>172</v>
      </c>
      <c r="AR89" s="50"/>
      <c r="AS89" s="22" t="e">
        <f>IF(AS85&lt;'1.基本データ(このシートは削除しないこと！)'!H17+1,1,0)</f>
        <v>#N/A</v>
      </c>
      <c r="AT89" s="27" t="s">
        <v>201</v>
      </c>
      <c r="AV89" s="50"/>
      <c r="AW89" s="50"/>
      <c r="AX89" s="50"/>
      <c r="AY89" s="50"/>
      <c r="AZ89" s="50"/>
      <c r="BA89" s="50"/>
      <c r="BB89" s="50"/>
    </row>
    <row r="90" spans="1:54" ht="34.950000000000003" customHeight="1" thickBot="1" x14ac:dyDescent="0.25">
      <c r="A90" s="33"/>
      <c r="B90" s="433" t="s">
        <v>195</v>
      </c>
      <c r="C90" s="430" t="s">
        <v>267</v>
      </c>
      <c r="D90" s="431"/>
      <c r="E90" s="107">
        <f>AG90</f>
        <v>1.25</v>
      </c>
      <c r="F90" s="181" t="str">
        <f>IF(OR($Y$87=0,V90=0),"-",AQ90)</f>
        <v>-</v>
      </c>
      <c r="G90" s="401" t="s">
        <v>229</v>
      </c>
      <c r="H90" s="402"/>
      <c r="I90" s="402"/>
      <c r="J90" s="402"/>
      <c r="K90" s="402"/>
      <c r="L90" s="402"/>
      <c r="M90" s="402"/>
      <c r="N90" s="402"/>
      <c r="O90" s="402"/>
      <c r="P90" s="402"/>
      <c r="Q90" s="402"/>
      <c r="R90" s="211" t="s">
        <v>173</v>
      </c>
      <c r="S90" s="163" t="s">
        <v>173</v>
      </c>
      <c r="T90" s="93"/>
      <c r="U90" s="93"/>
      <c r="V90" s="41">
        <f t="shared" ref="V90:V95" si="5">IF(R90="有",1,0)</f>
        <v>0</v>
      </c>
      <c r="W90" s="52"/>
      <c r="X90" s="41">
        <f t="shared" ref="X90:X95" si="6">IF(S90="-",0,1)</f>
        <v>0</v>
      </c>
      <c r="Y90" s="108">
        <f>IF(OR(S90='1.基本データ(このシートは削除しないこと！)'!$D$19,'2.様式第1号、第11号-2(地域密着型)'!S90='1.基本データ(このシートは削除しないこと！)'!$E$19),1,0)</f>
        <v>1</v>
      </c>
      <c r="Z90" s="109" t="str">
        <f>VLOOKUP(S90,リスト2!$C$3:$E$65,2,FALSE)</f>
        <v>-</v>
      </c>
      <c r="AA90" s="110">
        <f>IF(OR(Z90='1.基本データ(このシートは削除しないこと！)'!$D$20,Z90='1.基本データ(このシートは削除しないこと！)'!$E$20),1,0)</f>
        <v>1</v>
      </c>
      <c r="AB90" s="109" t="str">
        <f>VLOOKUP(S90,リスト2!$C$3:$E$65,3,FALSE)</f>
        <v>-</v>
      </c>
      <c r="AC90" s="110">
        <f>IF(OR(AB90='1.基本データ(このシートは削除しないこと！)'!$D$21,AB90='1.基本データ(このシートは削除しないこと！)'!$E$21),1,0)</f>
        <v>1</v>
      </c>
      <c r="AD90" s="111">
        <f t="shared" ref="AD90:AD91" si="7">Y90+AA90+AC90</f>
        <v>3</v>
      </c>
      <c r="AE90" s="111">
        <f>IF(AND('1.基本データ(このシートは削除しないこと！)'!$D$17="全国",AB90&lt;&gt;"-"),4,0)</f>
        <v>0</v>
      </c>
      <c r="AF90" s="202" t="str">
        <f>VLOOKUP(S90,リスト2!$C$3:$F$65,4,FALSE)</f>
        <v>-</v>
      </c>
      <c r="AG90" s="112">
        <v>1.25</v>
      </c>
      <c r="AH90" s="112">
        <v>1.25</v>
      </c>
      <c r="AI90" s="112">
        <v>0</v>
      </c>
      <c r="AK90" s="113">
        <f>IF($V90*$X90*$AD90=3,AG90,0)</f>
        <v>0</v>
      </c>
      <c r="AL90" s="113">
        <f t="shared" ref="AL90:AL98" si="8">IF($V90*X90*$AD90=2,AH90,0)</f>
        <v>0</v>
      </c>
      <c r="AM90" s="113">
        <f>IF(OR($V90*$X90*$AD90=1,$V90*$X90*$AE90=4),AI90,0)</f>
        <v>0</v>
      </c>
      <c r="AN90" s="46" t="e">
        <f>IF('1.基本データ(このシートは削除しないこと！)'!$H$17=2,MAX(AK90:AL90),0)</f>
        <v>#N/A</v>
      </c>
      <c r="AO90" s="46" t="e">
        <f>IF('1.基本データ(このシートは削除しないこと！)'!$H$17=3,MAX(AK90:AM90),0)</f>
        <v>#N/A</v>
      </c>
      <c r="AP90" s="203" t="e">
        <f>IF(AND('1.基本データ(このシートは削除しないこと！)'!$H$17=4,AF90="県内"),W90*AI90,0)</f>
        <v>#N/A</v>
      </c>
      <c r="AQ90" s="173" t="str">
        <f>IF(AW83=1,MAX(AN90:AP90),"-")</f>
        <v>-</v>
      </c>
      <c r="AS90" s="50"/>
    </row>
    <row r="91" spans="1:54" ht="34.950000000000003" customHeight="1" thickBot="1" x14ac:dyDescent="0.25">
      <c r="A91" s="33"/>
      <c r="B91" s="433"/>
      <c r="C91" s="432" t="s">
        <v>266</v>
      </c>
      <c r="D91" s="421"/>
      <c r="E91" s="182">
        <f>AG91</f>
        <v>0.5</v>
      </c>
      <c r="F91" s="210" t="str">
        <f>IF((V91=0),"-",AQ91)</f>
        <v>-</v>
      </c>
      <c r="G91" s="399" t="s">
        <v>230</v>
      </c>
      <c r="H91" s="400"/>
      <c r="I91" s="400"/>
      <c r="J91" s="400"/>
      <c r="K91" s="400"/>
      <c r="L91" s="400"/>
      <c r="M91" s="400"/>
      <c r="N91" s="400"/>
      <c r="O91" s="400"/>
      <c r="P91" s="400"/>
      <c r="Q91" s="400"/>
      <c r="R91" s="211" t="s">
        <v>173</v>
      </c>
      <c r="S91" s="163" t="s">
        <v>173</v>
      </c>
      <c r="T91" s="93"/>
      <c r="U91" s="93"/>
      <c r="V91" s="41">
        <f t="shared" si="5"/>
        <v>0</v>
      </c>
      <c r="W91" s="52"/>
      <c r="X91" s="41">
        <f t="shared" si="6"/>
        <v>0</v>
      </c>
      <c r="Y91" s="108">
        <f>IF(OR(S91='1.基本データ(このシートは削除しないこと！)'!$D$19,'2.様式第1号、第11号-2(地域密着型)'!S91='1.基本データ(このシートは削除しないこと！)'!$E$19),1,0)</f>
        <v>1</v>
      </c>
      <c r="Z91" s="109" t="str">
        <f>VLOOKUP(S91,リスト2!$C$3:$E$65,2,FALSE)</f>
        <v>-</v>
      </c>
      <c r="AA91" s="110">
        <f>IF(OR(Z91='1.基本データ(このシートは削除しないこと！)'!$D$20,Z91='1.基本データ(このシートは削除しないこと！)'!$E$20),1,0)</f>
        <v>1</v>
      </c>
      <c r="AB91" s="109" t="str">
        <f>VLOOKUP(S91,リスト2!$C$3:$E$65,3,FALSE)</f>
        <v>-</v>
      </c>
      <c r="AC91" s="110">
        <f>IF(OR(AB91='1.基本データ(このシートは削除しないこと！)'!$D$21,AB91='1.基本データ(このシートは削除しないこと！)'!$E$21),1,0)</f>
        <v>1</v>
      </c>
      <c r="AD91" s="111">
        <f t="shared" si="7"/>
        <v>3</v>
      </c>
      <c r="AE91" s="111">
        <f>IF(AND('1.基本データ(このシートは削除しないこと！)'!$D$17="全国",AB91&lt;&gt;"-"),4,0)</f>
        <v>0</v>
      </c>
      <c r="AF91" s="202" t="str">
        <f>VLOOKUP(S91,リスト2!$C$3:$F$65,4,FALSE)</f>
        <v>-</v>
      </c>
      <c r="AG91" s="112">
        <v>0.5</v>
      </c>
      <c r="AH91" s="112">
        <v>0.5</v>
      </c>
      <c r="AI91" s="112">
        <v>0.25</v>
      </c>
      <c r="AK91" s="113">
        <f>IF($V91*X91*$AD91=3,AG91,0)</f>
        <v>0</v>
      </c>
      <c r="AL91" s="113">
        <f t="shared" si="8"/>
        <v>0</v>
      </c>
      <c r="AM91" s="113">
        <f t="shared" ref="AM91:AM98" si="9">IF(OR($V91*$X91*$AD91=1,$V91*$X91*$AE91=4),AI91,0)</f>
        <v>0</v>
      </c>
      <c r="AN91" s="46" t="e">
        <f>IF('1.基本データ(このシートは削除しないこと！)'!$H$17=2,MAX(AK91:AM91),0)</f>
        <v>#N/A</v>
      </c>
      <c r="AO91" s="46" t="e">
        <f>IF('1.基本データ(このシートは削除しないこと！)'!$H$17=3,MAX(AK91:AM91),0)</f>
        <v>#N/A</v>
      </c>
      <c r="AP91" s="203" t="e">
        <f>IF(AND('1.基本データ(このシートは削除しないこと！)'!$H$17=4,AF91="県内"),W91*AG91,0)</f>
        <v>#N/A</v>
      </c>
      <c r="AQ91" s="174" t="e">
        <f>MAX(AN91:AP91)</f>
        <v>#N/A</v>
      </c>
      <c r="AS91" s="50"/>
    </row>
    <row r="92" spans="1:54" ht="72" customHeight="1" thickBot="1" x14ac:dyDescent="0.25">
      <c r="A92" s="33"/>
      <c r="B92" s="433"/>
      <c r="C92" s="445" t="s">
        <v>241</v>
      </c>
      <c r="D92" s="454" t="s">
        <v>389</v>
      </c>
      <c r="E92" s="460">
        <v>1.75</v>
      </c>
      <c r="F92" s="457" t="e">
        <f>IF(OR($Y$87=0,AQ92=0,SUM(V92:V94)=0),"-",AU92)</f>
        <v>#N/A</v>
      </c>
      <c r="G92" s="330" t="s">
        <v>390</v>
      </c>
      <c r="H92" s="332" t="s">
        <v>337</v>
      </c>
      <c r="I92" s="332"/>
      <c r="J92" s="332"/>
      <c r="K92" s="332"/>
      <c r="L92" s="332"/>
      <c r="M92" s="332"/>
      <c r="N92" s="332"/>
      <c r="O92" s="332"/>
      <c r="P92" s="332"/>
      <c r="Q92" s="333"/>
      <c r="R92" s="211" t="s">
        <v>173</v>
      </c>
      <c r="S92" s="319" t="s">
        <v>173</v>
      </c>
      <c r="T92" s="114"/>
      <c r="U92" s="114"/>
      <c r="V92" s="115">
        <f t="shared" si="5"/>
        <v>0</v>
      </c>
      <c r="W92" s="427">
        <f>IF(SUM(V92:V94)&gt;0,1,0)</f>
        <v>0</v>
      </c>
      <c r="X92" s="246">
        <f t="shared" si="6"/>
        <v>0</v>
      </c>
      <c r="Y92" s="254">
        <f>IF(OR(S92='1.基本データ(このシートは削除しないこと！)'!$D$19,'2.様式第1号、第11号-2(地域密着型)'!S92='1.基本データ(このシートは削除しないこと！)'!$E$19),1,0)</f>
        <v>1</v>
      </c>
      <c r="Z92" s="255" t="str">
        <f>VLOOKUP(S92,リスト2!$C$3:$E$65,2,FALSE)</f>
        <v>-</v>
      </c>
      <c r="AA92" s="256">
        <f>IF(OR(Z92='1.基本データ(このシートは削除しないこと！)'!$D$20,Z92='1.基本データ(このシートは削除しないこと！)'!$E$20),1,0)</f>
        <v>1</v>
      </c>
      <c r="AB92" s="255" t="str">
        <f>VLOOKUP(S92,リスト2!$C$3:$E$65,3,FALSE)</f>
        <v>-</v>
      </c>
      <c r="AC92" s="256">
        <f>IF(OR(AB92='1.基本データ(このシートは削除しないこと！)'!$D$21,AB92='1.基本データ(このシートは削除しないこと！)'!$E$21),1,0)</f>
        <v>1</v>
      </c>
      <c r="AD92" s="257">
        <f>IF(Y92+AA92+AC92=3,2,Y92+AA92+AC92)</f>
        <v>2</v>
      </c>
      <c r="AE92" s="245">
        <f>IF(AND('1.基本データ(このシートは削除しないこと！)'!$D$17="全国",AB92&lt;&gt;"-"),4,0)</f>
        <v>0</v>
      </c>
      <c r="AF92" s="202" t="str">
        <f>VLOOKUP(S92,リスト2!$C$3:$F$65,4,FALSE)</f>
        <v>-</v>
      </c>
      <c r="AG92" s="253"/>
      <c r="AH92" s="124">
        <v>1.5</v>
      </c>
      <c r="AI92" s="124">
        <v>1.5</v>
      </c>
      <c r="AK92" s="120">
        <f>IF($V92*X92*$AD92=3,AG92,0)</f>
        <v>0</v>
      </c>
      <c r="AL92" s="120">
        <f t="shared" si="8"/>
        <v>0</v>
      </c>
      <c r="AM92" s="120">
        <f t="shared" si="9"/>
        <v>0</v>
      </c>
      <c r="AN92" s="204" t="e">
        <f>IF('1.基本データ(このシートは削除しないこと！)'!$H$17=2,MAX(AK92:AL92),0)</f>
        <v>#N/A</v>
      </c>
      <c r="AO92" s="204" t="e">
        <f>IF('1.基本データ(このシートは削除しないこと！)'!$H$17=3,MAX(AK92:AM92),0)</f>
        <v>#N/A</v>
      </c>
      <c r="AP92" s="205" t="e">
        <f>IF(AND('1.基本データ(このシートは削除しないこと！)'!$H$17=4,AF92="県内"),W92*AI92,0)</f>
        <v>#N/A</v>
      </c>
      <c r="AQ92" s="368" t="e">
        <f>IF(W92&lt;=2,MAX(AN92:AP94),"-")</f>
        <v>#N/A</v>
      </c>
      <c r="AR92" s="412" t="e">
        <f>RANK(AQ92,$AQ$92:$AQ$101,0)</f>
        <v>#N/A</v>
      </c>
      <c r="AS92" s="217" t="e">
        <f>AQ92</f>
        <v>#N/A</v>
      </c>
      <c r="AT92" s="219" t="e">
        <f>AQ92+0.25</f>
        <v>#N/A</v>
      </c>
      <c r="AU92" s="22" t="str">
        <f>IF(AU93=1,MAX(AS92:AT92),IF(AU93=2,MIN(AS92:AT92),"-"))</f>
        <v>-</v>
      </c>
    </row>
    <row r="93" spans="1:54" ht="35.4" customHeight="1" thickBot="1" x14ac:dyDescent="0.25">
      <c r="A93" s="33"/>
      <c r="B93" s="433"/>
      <c r="C93" s="446"/>
      <c r="D93" s="455"/>
      <c r="E93" s="452"/>
      <c r="F93" s="458"/>
      <c r="G93" s="331"/>
      <c r="H93" s="334" t="s">
        <v>338</v>
      </c>
      <c r="I93" s="334"/>
      <c r="J93" s="334"/>
      <c r="K93" s="334"/>
      <c r="L93" s="334"/>
      <c r="M93" s="334"/>
      <c r="N93" s="334"/>
      <c r="O93" s="334"/>
      <c r="P93" s="334"/>
      <c r="Q93" s="335"/>
      <c r="R93" s="211" t="s">
        <v>173</v>
      </c>
      <c r="S93" s="345"/>
      <c r="T93" s="114"/>
      <c r="U93" s="114"/>
      <c r="V93" s="115">
        <f t="shared" si="5"/>
        <v>0</v>
      </c>
      <c r="W93" s="428"/>
      <c r="X93" s="247">
        <f>X92</f>
        <v>0</v>
      </c>
      <c r="Y93" s="247">
        <f t="shared" ref="Y93:AE93" si="10">Y92</f>
        <v>1</v>
      </c>
      <c r="Z93" s="283" t="str">
        <f t="shared" si="10"/>
        <v>-</v>
      </c>
      <c r="AA93" s="287">
        <f t="shared" si="10"/>
        <v>1</v>
      </c>
      <c r="AB93" s="288" t="str">
        <f t="shared" si="10"/>
        <v>-</v>
      </c>
      <c r="AC93" s="285">
        <f t="shared" si="10"/>
        <v>1</v>
      </c>
      <c r="AD93" s="247">
        <f t="shared" si="10"/>
        <v>2</v>
      </c>
      <c r="AE93" s="247">
        <f t="shared" si="10"/>
        <v>0</v>
      </c>
      <c r="AF93" s="202" t="str">
        <f>AF92</f>
        <v>-</v>
      </c>
      <c r="AG93" s="261"/>
      <c r="AH93" s="262">
        <v>1.25</v>
      </c>
      <c r="AI93" s="262">
        <v>1.25</v>
      </c>
      <c r="AK93" s="120">
        <f>IF($V93*X93*$AD93=3,AG93,0)</f>
        <v>0</v>
      </c>
      <c r="AL93" s="120">
        <f t="shared" si="8"/>
        <v>0</v>
      </c>
      <c r="AM93" s="120">
        <f t="shared" ref="AM93" si="11">IF(OR($V93*$X93*$AD93=1,$V93*$X93*$AE93=4),AI93,0)</f>
        <v>0</v>
      </c>
      <c r="AN93" s="206" t="e">
        <f>IF('1.基本データ(このシートは削除しないこと！)'!$H$17=2,MAX(AK93:AL93),0)</f>
        <v>#N/A</v>
      </c>
      <c r="AO93" s="206" t="e">
        <f>IF('1.基本データ(このシートは削除しないこと！)'!$H$17=3,MAX(AK93:AM93),0)</f>
        <v>#N/A</v>
      </c>
      <c r="AP93" s="207" t="e">
        <f>IF(AND('1.基本データ(このシートは削除しないこと！)'!$H$17=4,AF93="県内"),W93*AI93,0)</f>
        <v>#N/A</v>
      </c>
      <c r="AQ93" s="369"/>
      <c r="AR93" s="413"/>
      <c r="AS93" s="41"/>
      <c r="AT93" s="218"/>
      <c r="AU93" s="62">
        <f>IF(G94=リスト!Q4,1,IF(G94=リスト!Q5,2,0))</f>
        <v>0</v>
      </c>
      <c r="AV93" s="192">
        <f>AU93</f>
        <v>0</v>
      </c>
    </row>
    <row r="94" spans="1:54" ht="54.6" customHeight="1" thickBot="1" x14ac:dyDescent="0.25">
      <c r="A94" s="33"/>
      <c r="B94" s="433"/>
      <c r="C94" s="446"/>
      <c r="D94" s="456"/>
      <c r="E94" s="451"/>
      <c r="F94" s="459"/>
      <c r="G94" s="298" t="s">
        <v>173</v>
      </c>
      <c r="H94" s="384" t="s">
        <v>339</v>
      </c>
      <c r="I94" s="334"/>
      <c r="J94" s="334"/>
      <c r="K94" s="334"/>
      <c r="L94" s="334"/>
      <c r="M94" s="334"/>
      <c r="N94" s="334"/>
      <c r="O94" s="334"/>
      <c r="P94" s="334"/>
      <c r="Q94" s="335"/>
      <c r="R94" s="211" t="s">
        <v>173</v>
      </c>
      <c r="S94" s="320"/>
      <c r="T94" s="114"/>
      <c r="U94" s="114"/>
      <c r="V94" s="115">
        <f t="shared" si="5"/>
        <v>0</v>
      </c>
      <c r="W94" s="429"/>
      <c r="X94" s="260">
        <f>X92</f>
        <v>0</v>
      </c>
      <c r="Y94" s="260">
        <f t="shared" ref="Y94:AE94" si="12">Y92</f>
        <v>1</v>
      </c>
      <c r="Z94" s="284" t="str">
        <f t="shared" si="12"/>
        <v>-</v>
      </c>
      <c r="AA94" s="289">
        <f t="shared" si="12"/>
        <v>1</v>
      </c>
      <c r="AB94" s="290" t="str">
        <f t="shared" si="12"/>
        <v>-</v>
      </c>
      <c r="AC94" s="286">
        <f t="shared" si="12"/>
        <v>1</v>
      </c>
      <c r="AD94" s="260">
        <f t="shared" si="12"/>
        <v>2</v>
      </c>
      <c r="AE94" s="260">
        <f t="shared" si="12"/>
        <v>0</v>
      </c>
      <c r="AF94" s="202" t="str">
        <f>AF92</f>
        <v>-</v>
      </c>
      <c r="AG94" s="258"/>
      <c r="AH94" s="259">
        <v>0.75</v>
      </c>
      <c r="AI94" s="259">
        <v>0.75</v>
      </c>
      <c r="AK94" s="120">
        <f>IF($V94*X94*$AD94=3,AG94,0)</f>
        <v>0</v>
      </c>
      <c r="AL94" s="120">
        <f t="shared" si="8"/>
        <v>0</v>
      </c>
      <c r="AM94" s="120">
        <f>IF(OR($V94*$X94*$AD94=1,$V94*$X94*$AE94=4),AI94,0)</f>
        <v>0</v>
      </c>
      <c r="AN94" s="208" t="e">
        <f>IF('1.基本データ(このシートは削除しないこと！)'!$H$17=2,MAX(AK94:AL94),0)</f>
        <v>#N/A</v>
      </c>
      <c r="AO94" s="208" t="e">
        <f>IF('1.基本データ(このシートは削除しないこと！)'!$H$17=3,MAX(AK94:AM94),0)</f>
        <v>#N/A</v>
      </c>
      <c r="AP94" s="209" t="e">
        <f>IF(AND('1.基本データ(このシートは削除しないこと！)'!$H$17=4,AF94="県内"),W94*AI94,0)</f>
        <v>#N/A</v>
      </c>
      <c r="AQ94" s="370"/>
      <c r="AR94" s="414"/>
      <c r="AS94" s="50"/>
    </row>
    <row r="95" spans="1:54" ht="79.95" customHeight="1" thickBot="1" x14ac:dyDescent="0.25">
      <c r="A95" s="33"/>
      <c r="B95" s="433"/>
      <c r="C95" s="446"/>
      <c r="D95" s="448" t="s">
        <v>265</v>
      </c>
      <c r="E95" s="450">
        <f>AG95</f>
        <v>1.25</v>
      </c>
      <c r="F95" s="434" t="str">
        <f>IF(OR($Y$87=0,V95+V96=0),"-",AQ95)</f>
        <v>-</v>
      </c>
      <c r="G95" s="469" t="s">
        <v>345</v>
      </c>
      <c r="H95" s="467"/>
      <c r="I95" s="467"/>
      <c r="J95" s="467"/>
      <c r="K95" s="467"/>
      <c r="L95" s="467"/>
      <c r="M95" s="467"/>
      <c r="N95" s="467"/>
      <c r="O95" s="467"/>
      <c r="P95" s="467"/>
      <c r="Q95" s="468"/>
      <c r="R95" s="211" t="s">
        <v>173</v>
      </c>
      <c r="S95" s="319" t="s">
        <v>173</v>
      </c>
      <c r="T95" s="121"/>
      <c r="U95" s="121"/>
      <c r="V95" s="115">
        <f t="shared" si="5"/>
        <v>0</v>
      </c>
      <c r="W95" s="427">
        <f>IF(SUM(V95:V96)&gt;0,1,0)+W92</f>
        <v>0</v>
      </c>
      <c r="X95" s="122">
        <f t="shared" si="6"/>
        <v>0</v>
      </c>
      <c r="Y95" s="116">
        <f>IF(OR(S95='1.基本データ(このシートは削除しないこと！)'!$D$19,'2.様式第1号、第11号-2(地域密着型)'!S95='1.基本データ(このシートは削除しないこと！)'!$E$19),1,0)</f>
        <v>1</v>
      </c>
      <c r="Z95" s="117" t="str">
        <f>VLOOKUP(S95,リスト2!$C$3:$E$65,2,FALSE)</f>
        <v>-</v>
      </c>
      <c r="AA95" s="118">
        <f>IF(OR(Z95='1.基本データ(このシートは削除しないこと！)'!$D$20,Z95='1.基本データ(このシートは削除しないこと！)'!$E$20),1,0)</f>
        <v>1</v>
      </c>
      <c r="AB95" s="117" t="str">
        <f>VLOOKUP(S95,リスト2!$C$3:$E$65,3,FALSE)</f>
        <v>-</v>
      </c>
      <c r="AC95" s="118">
        <f>IF(OR(AB95='1.基本データ(このシートは削除しないこと！)'!$D$21,AB95='1.基本データ(このシートは削除しないこと！)'!$E$21),1,0)</f>
        <v>1</v>
      </c>
      <c r="AD95" s="119">
        <f>Y95+AA95+AC95</f>
        <v>3</v>
      </c>
      <c r="AE95" s="123">
        <f>IF(AND('1.基本データ(このシートは削除しないこと！)'!$D$17="全国",AB95&lt;&gt;"-"),4,0)</f>
        <v>0</v>
      </c>
      <c r="AF95" s="202" t="str">
        <f>VLOOKUP(S95,リスト2!$C$3:$F$65,4,FALSE)</f>
        <v>-</v>
      </c>
      <c r="AG95" s="124">
        <v>1.25</v>
      </c>
      <c r="AH95" s="124">
        <v>1.25</v>
      </c>
      <c r="AI95" s="124">
        <v>1.25</v>
      </c>
      <c r="AK95" s="120">
        <f>IF($V95*$X95*$AD95=3,AG95,0)</f>
        <v>0</v>
      </c>
      <c r="AL95" s="120">
        <f t="shared" si="8"/>
        <v>0</v>
      </c>
      <c r="AM95" s="120">
        <f>IF(OR($V95*$X95*$AD95=1,$V95*$X95*$AE95=4),AI95,0)</f>
        <v>0</v>
      </c>
      <c r="AN95" s="204" t="e">
        <f>IF('1.基本データ(このシートは削除しないこと！)'!$H$17=2,MAX(AK95:AL95),0)</f>
        <v>#N/A</v>
      </c>
      <c r="AO95" s="204" t="e">
        <f>IF('1.基本データ(このシートは削除しないこと！)'!$H$17=3,MAX(AK95:AM95),0)</f>
        <v>#N/A</v>
      </c>
      <c r="AP95" s="205" t="e">
        <f>IF(AND('1.基本データ(このシートは削除しないこと！)'!$H$17=4,AF95="県内"),W95*AI95,0)</f>
        <v>#N/A</v>
      </c>
      <c r="AQ95" s="175" t="e">
        <f>IF(W95&lt;=2,MAX(AN95:AP96),"-")</f>
        <v>#N/A</v>
      </c>
      <c r="AR95" s="412" t="e">
        <f>RANK(AQ95,$AQ$92:$AQ$101,0)</f>
        <v>#N/A</v>
      </c>
    </row>
    <row r="96" spans="1:54" ht="34.950000000000003" customHeight="1" thickBot="1" x14ac:dyDescent="0.25">
      <c r="A96" s="33"/>
      <c r="B96" s="433"/>
      <c r="C96" s="446"/>
      <c r="D96" s="449"/>
      <c r="E96" s="451"/>
      <c r="F96" s="435"/>
      <c r="G96" s="467" t="s">
        <v>346</v>
      </c>
      <c r="H96" s="467"/>
      <c r="I96" s="467"/>
      <c r="J96" s="467"/>
      <c r="K96" s="467"/>
      <c r="L96" s="467"/>
      <c r="M96" s="467"/>
      <c r="N96" s="467"/>
      <c r="O96" s="467"/>
      <c r="P96" s="467"/>
      <c r="Q96" s="468"/>
      <c r="R96" s="211" t="s">
        <v>173</v>
      </c>
      <c r="S96" s="320"/>
      <c r="T96" s="114"/>
      <c r="U96" s="114"/>
      <c r="V96" s="62">
        <f t="shared" ref="V96:V101" si="13">IF(R96="有",1,0)</f>
        <v>0</v>
      </c>
      <c r="W96" s="429"/>
      <c r="X96" s="180">
        <f>X95</f>
        <v>0</v>
      </c>
      <c r="Y96" s="282">
        <f t="shared" ref="Y96:AE96" si="14">Y95</f>
        <v>1</v>
      </c>
      <c r="Z96" s="291" t="str">
        <f t="shared" si="14"/>
        <v>-</v>
      </c>
      <c r="AA96" s="294">
        <f t="shared" si="14"/>
        <v>1</v>
      </c>
      <c r="AB96" s="295" t="str">
        <f t="shared" si="14"/>
        <v>-</v>
      </c>
      <c r="AC96" s="293">
        <f t="shared" si="14"/>
        <v>1</v>
      </c>
      <c r="AD96" s="282">
        <f t="shared" si="14"/>
        <v>3</v>
      </c>
      <c r="AE96" s="282">
        <f t="shared" si="14"/>
        <v>0</v>
      </c>
      <c r="AF96" s="202" t="str">
        <f>AF95</f>
        <v>-</v>
      </c>
      <c r="AG96" s="126">
        <v>0.75</v>
      </c>
      <c r="AH96" s="126">
        <v>0.75</v>
      </c>
      <c r="AI96" s="126">
        <v>0.75</v>
      </c>
      <c r="AK96" s="127">
        <f>IF($V96*$X96*$AD96=3,AG96,0)</f>
        <v>0</v>
      </c>
      <c r="AL96" s="127">
        <f t="shared" si="8"/>
        <v>0</v>
      </c>
      <c r="AM96" s="127">
        <f t="shared" si="9"/>
        <v>0</v>
      </c>
      <c r="AN96" s="208" t="e">
        <f>IF('1.基本データ(このシートは削除しないこと！)'!$H$17=2,MAX(AK96:AL96),0)</f>
        <v>#N/A</v>
      </c>
      <c r="AO96" s="208" t="e">
        <f>IF('1.基本データ(このシートは削除しないこと！)'!$H$17=3,MAX(AK96:AM96),0)</f>
        <v>#N/A</v>
      </c>
      <c r="AP96" s="209" t="e">
        <f>IF(AND('1.基本データ(このシートは削除しないこと！)'!$H$17=4,AF96="県内"),W96*AI96,0)</f>
        <v>#N/A</v>
      </c>
      <c r="AQ96" s="176"/>
      <c r="AR96" s="414"/>
    </row>
    <row r="97" spans="1:48" ht="34.950000000000003" customHeight="1" thickBot="1" x14ac:dyDescent="0.25">
      <c r="A97" s="33"/>
      <c r="B97" s="433"/>
      <c r="C97" s="446"/>
      <c r="D97" s="448" t="s">
        <v>238</v>
      </c>
      <c r="E97" s="450">
        <f>AG97</f>
        <v>1.25</v>
      </c>
      <c r="F97" s="434" t="str">
        <f>IF(OR($Y$87=0,V97+V98=0),"-",AQ97)</f>
        <v>-</v>
      </c>
      <c r="G97" s="467" t="s">
        <v>228</v>
      </c>
      <c r="H97" s="467"/>
      <c r="I97" s="467"/>
      <c r="J97" s="467"/>
      <c r="K97" s="467"/>
      <c r="L97" s="467"/>
      <c r="M97" s="467"/>
      <c r="N97" s="467"/>
      <c r="O97" s="467"/>
      <c r="P97" s="467"/>
      <c r="Q97" s="468"/>
      <c r="R97" s="211" t="s">
        <v>173</v>
      </c>
      <c r="S97" s="319" t="s">
        <v>173</v>
      </c>
      <c r="T97" s="114"/>
      <c r="U97" s="114"/>
      <c r="V97" s="115">
        <f>IF(R97="有",1,0)</f>
        <v>0</v>
      </c>
      <c r="W97" s="427">
        <f>IF(SUM(V97:V98)&gt;0,1,0)+W95</f>
        <v>0</v>
      </c>
      <c r="X97" s="122">
        <f>IF(S97="-",0,1)</f>
        <v>0</v>
      </c>
      <c r="Y97" s="116">
        <f>IF(OR(S97='1.基本データ(このシートは削除しないこと！)'!$D$19,'2.様式第1号、第11号-2(地域密着型)'!S97='1.基本データ(このシートは削除しないこと！)'!$E$19),1,0)</f>
        <v>1</v>
      </c>
      <c r="Z97" s="292" t="str">
        <f>VLOOKUP(S97,リスト2!$C$3:$E$65,2,FALSE)</f>
        <v>-</v>
      </c>
      <c r="AA97" s="118">
        <f>IF(OR(Z97='1.基本データ(このシートは削除しないこと！)'!$D$20,Z97='1.基本データ(このシートは削除しないこと！)'!$E$20),1,0)</f>
        <v>1</v>
      </c>
      <c r="AB97" s="117" t="str">
        <f>VLOOKUP(S97,リスト2!$C$3:$E$65,3,FALSE)</f>
        <v>-</v>
      </c>
      <c r="AC97" s="119">
        <f>IF(OR(AB97='1.基本データ(このシートは削除しないこと！)'!$D$21,AB97='1.基本データ(このシートは削除しないこと！)'!$E$21),1,0)</f>
        <v>1</v>
      </c>
      <c r="AD97" s="119">
        <f t="shared" ref="AD97:AD99" si="15">Y97+AA97+AC97</f>
        <v>3</v>
      </c>
      <c r="AE97" s="123">
        <f>IF(AND('1.基本データ(このシートは削除しないこと！)'!$D$17="全国",AB97&lt;&gt;"-"),4,0)</f>
        <v>0</v>
      </c>
      <c r="AF97" s="202" t="str">
        <f>VLOOKUP(S97,リスト2!$C$3:$F$65,4,FALSE)</f>
        <v>-</v>
      </c>
      <c r="AG97" s="124">
        <v>1.25</v>
      </c>
      <c r="AH97" s="124">
        <v>1.25</v>
      </c>
      <c r="AI97" s="124">
        <v>1.25</v>
      </c>
      <c r="AK97" s="120">
        <f>IF($V97*X97*$AD97=3,AG97,0)</f>
        <v>0</v>
      </c>
      <c r="AL97" s="120">
        <f t="shared" si="8"/>
        <v>0</v>
      </c>
      <c r="AM97" s="120">
        <f>IF(OR($V97*$X97*$AD97=1,$V97*$X97*$AE97=4),AI97,0)</f>
        <v>0</v>
      </c>
      <c r="AN97" s="204" t="e">
        <f>IF('1.基本データ(このシートは削除しないこと！)'!$H$17=2,MAX(AK97:AL97),0)</f>
        <v>#N/A</v>
      </c>
      <c r="AO97" s="204" t="e">
        <f>IF('1.基本データ(このシートは削除しないこと！)'!$H$17=3,MAX(AK97:AM97),0)</f>
        <v>#N/A</v>
      </c>
      <c r="AP97" s="205" t="e">
        <f>IF(AND('1.基本データ(このシートは削除しないこと！)'!$H$17=4,AF97="県内"),W97*AI97,0)</f>
        <v>#N/A</v>
      </c>
      <c r="AQ97" s="175" t="e">
        <f>IF(W97&lt;=2,MAX(AN97:AP98),"-")</f>
        <v>#N/A</v>
      </c>
      <c r="AR97" s="412" t="e">
        <f>RANK(AQ97,$AQ$92:$AQ$101,0)+(IF(AQ95=1.25,1,0))+(IF(AQ95=0.75,1,0))</f>
        <v>#N/A</v>
      </c>
    </row>
    <row r="98" spans="1:48" ht="34.950000000000003" customHeight="1" thickBot="1" x14ac:dyDescent="0.25">
      <c r="A98" s="33"/>
      <c r="B98" s="433"/>
      <c r="C98" s="446"/>
      <c r="D98" s="449"/>
      <c r="E98" s="451"/>
      <c r="F98" s="435"/>
      <c r="G98" s="467" t="s">
        <v>224</v>
      </c>
      <c r="H98" s="467"/>
      <c r="I98" s="467"/>
      <c r="J98" s="467"/>
      <c r="K98" s="467"/>
      <c r="L98" s="467"/>
      <c r="M98" s="467"/>
      <c r="N98" s="467"/>
      <c r="O98" s="467"/>
      <c r="P98" s="467"/>
      <c r="Q98" s="468"/>
      <c r="R98" s="211" t="s">
        <v>173</v>
      </c>
      <c r="S98" s="320"/>
      <c r="T98" s="128"/>
      <c r="U98" s="128"/>
      <c r="V98" s="62">
        <f>IF(R98="有",1,0)</f>
        <v>0</v>
      </c>
      <c r="W98" s="429"/>
      <c r="X98" s="180">
        <f>X97</f>
        <v>0</v>
      </c>
      <c r="Y98" s="282">
        <f t="shared" ref="Y98:AE98" si="16">Y97</f>
        <v>1</v>
      </c>
      <c r="Z98" s="291" t="str">
        <f t="shared" si="16"/>
        <v>-</v>
      </c>
      <c r="AA98" s="296">
        <f t="shared" si="16"/>
        <v>1</v>
      </c>
      <c r="AB98" s="290" t="str">
        <f t="shared" si="16"/>
        <v>-</v>
      </c>
      <c r="AC98" s="293">
        <f t="shared" si="16"/>
        <v>1</v>
      </c>
      <c r="AD98" s="282">
        <f t="shared" si="16"/>
        <v>3</v>
      </c>
      <c r="AE98" s="282">
        <f t="shared" si="16"/>
        <v>0</v>
      </c>
      <c r="AF98" s="202" t="str">
        <f>AF97</f>
        <v>-</v>
      </c>
      <c r="AG98" s="126">
        <v>0.75</v>
      </c>
      <c r="AH98" s="126">
        <v>0.75</v>
      </c>
      <c r="AI98" s="126">
        <v>0.75</v>
      </c>
      <c r="AK98" s="127">
        <f>IF($V98*X98*$AD98=3,AG98,0)</f>
        <v>0</v>
      </c>
      <c r="AL98" s="127">
        <f t="shared" si="8"/>
        <v>0</v>
      </c>
      <c r="AM98" s="127">
        <f t="shared" si="9"/>
        <v>0</v>
      </c>
      <c r="AN98" s="208" t="e">
        <f>IF('1.基本データ(このシートは削除しないこと！)'!$H$17=2,MAX(AK98:AL98),0)</f>
        <v>#N/A</v>
      </c>
      <c r="AO98" s="208" t="e">
        <f>IF('1.基本データ(このシートは削除しないこと！)'!$H$17=3,MAX(AK98:AM98),0)</f>
        <v>#N/A</v>
      </c>
      <c r="AP98" s="209" t="e">
        <f>IF(AND('1.基本データ(このシートは削除しないこと！)'!$H$17=4,AF98="県内"),W98*AI98,0)</f>
        <v>#N/A</v>
      </c>
      <c r="AQ98" s="176"/>
      <c r="AR98" s="414"/>
    </row>
    <row r="99" spans="1:48" ht="65.400000000000006" customHeight="1" thickBot="1" x14ac:dyDescent="0.25">
      <c r="A99" s="33"/>
      <c r="B99" s="433"/>
      <c r="C99" s="446"/>
      <c r="D99" s="461" t="s">
        <v>391</v>
      </c>
      <c r="E99" s="450">
        <v>1.75</v>
      </c>
      <c r="F99" s="436" t="e">
        <f>IF(OR('1.基本データ(このシートは削除しないこと！)'!H16=10,$Y$87=0,AQ99=0,SUM(V99:V101)=0),"-",AU99)</f>
        <v>#N/A</v>
      </c>
      <c r="G99" s="525" t="s">
        <v>387</v>
      </c>
      <c r="H99" s="334" t="s">
        <v>350</v>
      </c>
      <c r="I99" s="334"/>
      <c r="J99" s="334"/>
      <c r="K99" s="334"/>
      <c r="L99" s="334"/>
      <c r="M99" s="334"/>
      <c r="N99" s="334"/>
      <c r="O99" s="334"/>
      <c r="P99" s="334"/>
      <c r="Q99" s="335"/>
      <c r="R99" s="211" t="s">
        <v>173</v>
      </c>
      <c r="S99" s="319" t="s">
        <v>173</v>
      </c>
      <c r="T99" s="114"/>
      <c r="U99" s="114"/>
      <c r="V99" s="246">
        <f t="shared" si="13"/>
        <v>0</v>
      </c>
      <c r="W99" s="427">
        <f>IF(SUM(V99:V101)&gt;0,1,0)+W97</f>
        <v>0</v>
      </c>
      <c r="X99" s="122">
        <f>IF(S99="-",0,1)</f>
        <v>0</v>
      </c>
      <c r="Y99" s="116">
        <f>IF(OR(S99='1.基本データ(このシートは削除しないこと！)'!$D$19,'2.様式第1号、第11号-2(地域密着型)'!S99='1.基本データ(このシートは削除しないこと！)'!$E$19),1,0)</f>
        <v>1</v>
      </c>
      <c r="Z99" s="117" t="str">
        <f>VLOOKUP(S99,リスト2!$C$3:$E$65,2,FALSE)</f>
        <v>-</v>
      </c>
      <c r="AA99" s="118">
        <f>IF(OR(Z99='1.基本データ(このシートは削除しないこと！)'!$D$20,Z99='1.基本データ(このシートは削除しないこと！)'!$E$20),1,0)</f>
        <v>1</v>
      </c>
      <c r="AB99" s="117" t="str">
        <f>VLOOKUP(S99,リスト2!$C$3:$E$65,3,FALSE)</f>
        <v>-</v>
      </c>
      <c r="AC99" s="118">
        <f>IF(OR(AB99='1.基本データ(このシートは削除しないこと！)'!$D$21,AB99='1.基本データ(このシートは削除しないこと！)'!$E$21),1,0)</f>
        <v>1</v>
      </c>
      <c r="AD99" s="119">
        <f t="shared" si="15"/>
        <v>3</v>
      </c>
      <c r="AE99" s="119">
        <f>IF(AND('1.基本データ(このシートは削除しないこと！)'!$D$17="全国",AB99&lt;&gt;"-"),4,0)</f>
        <v>0</v>
      </c>
      <c r="AF99" s="202" t="str">
        <f>VLOOKUP(S99,リスト2!$C$3:$F$65,4,FALSE)</f>
        <v>-</v>
      </c>
      <c r="AG99" s="112">
        <f>IF('1.基本データ(このシートは削除しないこと！)'!H16=1,1.5,0)</f>
        <v>0</v>
      </c>
      <c r="AH99" s="112">
        <f>IF('1.基本データ(このシートは削除しないこと！)'!H16=1,1.5,0)</f>
        <v>0</v>
      </c>
      <c r="AI99" s="112">
        <f>IF('1.基本データ(このシートは削除しないこと！)'!H16=1,1.5,0)</f>
        <v>0</v>
      </c>
      <c r="AK99" s="263">
        <f>IF($V99*X99*$AD99=3,AG99,0)</f>
        <v>0</v>
      </c>
      <c r="AL99" s="264">
        <f>IF($V99*X99*$AD99=2,AH99,0)</f>
        <v>0</v>
      </c>
      <c r="AM99" s="264">
        <f>IF(OR($V99*$X99*$AD99=1,$V99*$X99*$AE99=4),AI99,0)</f>
        <v>0</v>
      </c>
      <c r="AN99" s="204" t="e">
        <f>IF('1.基本データ(このシートは削除しないこと！)'!$H$17=2,MAX(AK99:AL99),0)</f>
        <v>#N/A</v>
      </c>
      <c r="AO99" s="204" t="e">
        <f>IF('1.基本データ(このシートは削除しないこと！)'!$H$17=3,MAX(AK99:AM99),0)</f>
        <v>#N/A</v>
      </c>
      <c r="AP99" s="205" t="e">
        <f>IF(AND('1.基本データ(このシートは削除しないこと！)'!$H$17=4,AF99="県内"),W99*AI99,0)</f>
        <v>#N/A</v>
      </c>
      <c r="AQ99" s="518" t="e">
        <f>IF(W99&lt;=2,MAX(AN99:AP101),"-")</f>
        <v>#N/A</v>
      </c>
      <c r="AR99" s="412" t="e">
        <f>RANK(AQ99,$AQ$92:$AQ$101,0)</f>
        <v>#N/A</v>
      </c>
      <c r="AS99" s="217" t="e">
        <f>AQ99</f>
        <v>#N/A</v>
      </c>
      <c r="AT99" s="219" t="e">
        <f>AQ99+0.25</f>
        <v>#N/A</v>
      </c>
      <c r="AU99" s="22" t="str">
        <f>IF(AU101=1,MAX(AS99:AT99),IF(AU101=2,MIN(AS99:AT99),"-"))</f>
        <v>-</v>
      </c>
    </row>
    <row r="100" spans="1:48" ht="60" customHeight="1" thickBot="1" x14ac:dyDescent="0.25">
      <c r="A100" s="33"/>
      <c r="B100" s="433"/>
      <c r="C100" s="446"/>
      <c r="D100" s="462"/>
      <c r="E100" s="452"/>
      <c r="F100" s="437"/>
      <c r="G100" s="526"/>
      <c r="H100" s="334" t="s">
        <v>375</v>
      </c>
      <c r="I100" s="387"/>
      <c r="J100" s="387"/>
      <c r="K100" s="387"/>
      <c r="L100" s="387"/>
      <c r="M100" s="387"/>
      <c r="N100" s="387"/>
      <c r="O100" s="387"/>
      <c r="P100" s="387"/>
      <c r="Q100" s="527"/>
      <c r="R100" s="226" t="s">
        <v>173</v>
      </c>
      <c r="S100" s="345"/>
      <c r="T100" s="114"/>
      <c r="U100" s="114"/>
      <c r="V100" s="247">
        <f>IF(R100="有",1,0)</f>
        <v>0</v>
      </c>
      <c r="W100" s="428"/>
      <c r="X100" s="248">
        <f t="shared" ref="X100:AF100" si="17">X99</f>
        <v>0</v>
      </c>
      <c r="Y100" s="249">
        <f t="shared" si="17"/>
        <v>1</v>
      </c>
      <c r="Z100" s="250" t="str">
        <f t="shared" si="17"/>
        <v>-</v>
      </c>
      <c r="AA100" s="251">
        <f t="shared" si="17"/>
        <v>1</v>
      </c>
      <c r="AB100" s="250" t="str">
        <f t="shared" si="17"/>
        <v>-</v>
      </c>
      <c r="AC100" s="251">
        <f t="shared" si="17"/>
        <v>1</v>
      </c>
      <c r="AD100" s="252">
        <f t="shared" si="17"/>
        <v>3</v>
      </c>
      <c r="AE100" s="252">
        <f t="shared" si="17"/>
        <v>0</v>
      </c>
      <c r="AF100" s="202" t="str">
        <f t="shared" si="17"/>
        <v>-</v>
      </c>
      <c r="AG100" s="112">
        <v>1</v>
      </c>
      <c r="AH100" s="112">
        <v>1</v>
      </c>
      <c r="AI100" s="112">
        <v>1</v>
      </c>
      <c r="AK100" s="266">
        <f>IF($V100*X100*$AD100=3,AG100,0)</f>
        <v>0</v>
      </c>
      <c r="AL100" s="267">
        <f>IF($V100*X100*$AD100=2,AH100,0)</f>
        <v>0</v>
      </c>
      <c r="AM100" s="267">
        <f>IF(OR($V100*$X100*$AD100=1,$V100*$X100*$AE100=4),AI100,0)</f>
        <v>0</v>
      </c>
      <c r="AN100" s="206" t="e">
        <f>IF('1.基本データ(このシートは削除しないこと！)'!$H$17=2,MAX(AK100:AL100),0)</f>
        <v>#N/A</v>
      </c>
      <c r="AO100" s="206" t="e">
        <f>IF('1.基本データ(このシートは削除しないこと！)'!$H$17=3,MAX(AK100:AM100),0)</f>
        <v>#N/A</v>
      </c>
      <c r="AP100" s="207" t="e">
        <f>IF(AND('1.基本データ(このシートは削除しないこと！)'!$H$17=4,AF100="県内"),W100*AI100,0)</f>
        <v>#N/A</v>
      </c>
      <c r="AQ100" s="519"/>
      <c r="AR100" s="413"/>
      <c r="AS100" s="217"/>
      <c r="AT100" s="219"/>
      <c r="AU100" s="50"/>
    </row>
    <row r="101" spans="1:48" ht="60" customHeight="1" thickBot="1" x14ac:dyDescent="0.25">
      <c r="A101" s="33"/>
      <c r="B101" s="433"/>
      <c r="C101" s="447"/>
      <c r="D101" s="463"/>
      <c r="E101" s="453"/>
      <c r="F101" s="438"/>
      <c r="G101" s="299" t="s">
        <v>173</v>
      </c>
      <c r="H101" s="464" t="s">
        <v>376</v>
      </c>
      <c r="I101" s="465"/>
      <c r="J101" s="465"/>
      <c r="K101" s="465"/>
      <c r="L101" s="465"/>
      <c r="M101" s="465"/>
      <c r="N101" s="465"/>
      <c r="O101" s="465"/>
      <c r="P101" s="465"/>
      <c r="Q101" s="466"/>
      <c r="R101" s="211" t="s">
        <v>173</v>
      </c>
      <c r="S101" s="320"/>
      <c r="T101" s="114"/>
      <c r="U101" s="114"/>
      <c r="V101" s="62">
        <f t="shared" si="13"/>
        <v>0</v>
      </c>
      <c r="W101" s="429"/>
      <c r="X101" s="180">
        <f>X99</f>
        <v>0</v>
      </c>
      <c r="Y101" s="125">
        <f>Y99</f>
        <v>1</v>
      </c>
      <c r="Z101" s="109" t="str">
        <f>Z99</f>
        <v>-</v>
      </c>
      <c r="AA101" s="110">
        <f t="shared" ref="AA101:AE101" si="18">AA99</f>
        <v>1</v>
      </c>
      <c r="AB101" s="109" t="str">
        <f t="shared" si="18"/>
        <v>-</v>
      </c>
      <c r="AC101" s="110">
        <f t="shared" si="18"/>
        <v>1</v>
      </c>
      <c r="AD101" s="111">
        <f t="shared" si="18"/>
        <v>3</v>
      </c>
      <c r="AE101" s="111">
        <f t="shared" si="18"/>
        <v>0</v>
      </c>
      <c r="AF101" s="202" t="str">
        <f>AF99</f>
        <v>-</v>
      </c>
      <c r="AG101" s="112">
        <v>0.75</v>
      </c>
      <c r="AH101" s="112">
        <v>0.75</v>
      </c>
      <c r="AI101" s="112">
        <v>0.75</v>
      </c>
      <c r="AK101" s="127">
        <f>IF($V101*X101*$AD101=3,AG101,0)</f>
        <v>0</v>
      </c>
      <c r="AL101" s="265">
        <f>IF($V101*X101*$AD101=2,AH101,0)</f>
        <v>0</v>
      </c>
      <c r="AM101" s="265">
        <f>IF(OR($V101*$X101*$AD101=1,$V101*$X101*$AE101=4),AI101,0)</f>
        <v>0</v>
      </c>
      <c r="AN101" s="268" t="e">
        <f>IF('1.基本データ(このシートは削除しないこと！)'!$H$17=2,MAX(AK101:AL101),0)</f>
        <v>#N/A</v>
      </c>
      <c r="AO101" s="268" t="e">
        <f>IF('1.基本データ(このシートは削除しないこと！)'!$H$17=3,MAX(AK101:AM101),0)</f>
        <v>#N/A</v>
      </c>
      <c r="AP101" s="269" t="e">
        <f>IF(AND('1.基本データ(このシートは削除しないこと！)'!$H$17=4,AF101="県内"),W101*AI101,0)</f>
        <v>#N/A</v>
      </c>
      <c r="AQ101" s="520"/>
      <c r="AR101" s="414"/>
      <c r="AS101" s="41"/>
      <c r="AT101" s="218"/>
      <c r="AU101" s="62">
        <f>IF(G101=リスト!Q4,1,IF(G101=リスト!Q5,2,0))</f>
        <v>0</v>
      </c>
      <c r="AV101" s="192">
        <f>AU101</f>
        <v>0</v>
      </c>
    </row>
    <row r="104" spans="1:48" ht="9" customHeight="1" x14ac:dyDescent="0.2"/>
    <row r="105" spans="1:48" ht="9" customHeight="1" x14ac:dyDescent="0.2"/>
    <row r="106" spans="1:48" ht="9" customHeight="1" x14ac:dyDescent="0.2"/>
    <row r="107" spans="1:48" ht="9" customHeight="1" x14ac:dyDescent="0.2"/>
  </sheetData>
  <sheetProtection algorithmName="SHA-512" hashValue="VtilYi1DsECJFIrdXnMzVNZfpGhs0Uevbp4yOB5oT4TkgQ6hLV3FUIalR/13iH/8bWBm9gQyPV8CVBPcbF97CA==" saltValue="DnL/8jwg4klN8uY8I8PxPQ==" spinCount="100000" sheet="1" objects="1" scenarios="1"/>
  <mergeCells count="167">
    <mergeCell ref="AQ99:AQ101"/>
    <mergeCell ref="G16:K16"/>
    <mergeCell ref="L16:S16"/>
    <mergeCell ref="G17:K17"/>
    <mergeCell ref="L17:S17"/>
    <mergeCell ref="C20:S24"/>
    <mergeCell ref="C60:D60"/>
    <mergeCell ref="G60:Q60"/>
    <mergeCell ref="G99:G100"/>
    <mergeCell ref="H100:Q100"/>
    <mergeCell ref="F80:F87"/>
    <mergeCell ref="C78:D78"/>
    <mergeCell ref="R63:R65"/>
    <mergeCell ref="B77:D77"/>
    <mergeCell ref="S62:S65"/>
    <mergeCell ref="S66:S68"/>
    <mergeCell ref="F62:F65"/>
    <mergeCell ref="K78:Q78"/>
    <mergeCell ref="R78:S78"/>
    <mergeCell ref="B73:S73"/>
    <mergeCell ref="B75:D75"/>
    <mergeCell ref="K86:Q86"/>
    <mergeCell ref="N64:Q64"/>
    <mergeCell ref="C79:D79"/>
    <mergeCell ref="E75:R75"/>
    <mergeCell ref="I62:Q62"/>
    <mergeCell ref="I67:L67"/>
    <mergeCell ref="N67:Q67"/>
    <mergeCell ref="I64:L64"/>
    <mergeCell ref="A5:S5"/>
    <mergeCell ref="Q6:S6"/>
    <mergeCell ref="L10:S10"/>
    <mergeCell ref="L11:S12"/>
    <mergeCell ref="G12:K12"/>
    <mergeCell ref="G13:K13"/>
    <mergeCell ref="L13:S13"/>
    <mergeCell ref="G14:K14"/>
    <mergeCell ref="L14:S14"/>
    <mergeCell ref="B71:S71"/>
    <mergeCell ref="E55:E57"/>
    <mergeCell ref="C59:D59"/>
    <mergeCell ref="R67:R68"/>
    <mergeCell ref="I65:Q65"/>
    <mergeCell ref="L66:M66"/>
    <mergeCell ref="O66:P66"/>
    <mergeCell ref="G61:H61"/>
    <mergeCell ref="G67:H67"/>
    <mergeCell ref="G66:H66"/>
    <mergeCell ref="T47:U47"/>
    <mergeCell ref="B49:D49"/>
    <mergeCell ref="E49:R49"/>
    <mergeCell ref="B51:D51"/>
    <mergeCell ref="F52:F54"/>
    <mergeCell ref="B48:H48"/>
    <mergeCell ref="C52:D54"/>
    <mergeCell ref="E52:E54"/>
    <mergeCell ref="S52:S54"/>
    <mergeCell ref="B52:B68"/>
    <mergeCell ref="R61:S61"/>
    <mergeCell ref="E66:E68"/>
    <mergeCell ref="F66:F68"/>
    <mergeCell ref="E62:E65"/>
    <mergeCell ref="C61:D61"/>
    <mergeCell ref="C62:D65"/>
    <mergeCell ref="O55:P55"/>
    <mergeCell ref="I61:Q61"/>
    <mergeCell ref="I63:L63"/>
    <mergeCell ref="N63:Q63"/>
    <mergeCell ref="C58:D58"/>
    <mergeCell ref="C55:D57"/>
    <mergeCell ref="L55:M55"/>
    <mergeCell ref="F55:F57"/>
    <mergeCell ref="G77:S77"/>
    <mergeCell ref="G80:Q80"/>
    <mergeCell ref="E80:E87"/>
    <mergeCell ref="W97:W98"/>
    <mergeCell ref="C92:C101"/>
    <mergeCell ref="D95:D96"/>
    <mergeCell ref="W92:W94"/>
    <mergeCell ref="E97:E98"/>
    <mergeCell ref="E99:E101"/>
    <mergeCell ref="F95:F96"/>
    <mergeCell ref="E95:E96"/>
    <mergeCell ref="D92:D94"/>
    <mergeCell ref="W95:W96"/>
    <mergeCell ref="F92:F94"/>
    <mergeCell ref="E92:E94"/>
    <mergeCell ref="S99:S101"/>
    <mergeCell ref="D99:D101"/>
    <mergeCell ref="D97:D98"/>
    <mergeCell ref="H101:Q101"/>
    <mergeCell ref="H99:Q99"/>
    <mergeCell ref="G98:Q98"/>
    <mergeCell ref="G97:Q97"/>
    <mergeCell ref="G96:Q96"/>
    <mergeCell ref="G95:Q95"/>
    <mergeCell ref="G65:H65"/>
    <mergeCell ref="G64:H64"/>
    <mergeCell ref="G63:H63"/>
    <mergeCell ref="G62:H62"/>
    <mergeCell ref="G68:H68"/>
    <mergeCell ref="I68:L68"/>
    <mergeCell ref="C66:D68"/>
    <mergeCell ref="B69:S69"/>
    <mergeCell ref="AR99:AR101"/>
    <mergeCell ref="AR97:AR98"/>
    <mergeCell ref="AR95:AR96"/>
    <mergeCell ref="AR92:AR94"/>
    <mergeCell ref="N68:Q68"/>
    <mergeCell ref="B72:S72"/>
    <mergeCell ref="B70:S70"/>
    <mergeCell ref="B78:B87"/>
    <mergeCell ref="B89:D89"/>
    <mergeCell ref="C80:D87"/>
    <mergeCell ref="W99:W101"/>
    <mergeCell ref="C90:D90"/>
    <mergeCell ref="C91:D91"/>
    <mergeCell ref="B90:B101"/>
    <mergeCell ref="F97:F98"/>
    <mergeCell ref="F99:F101"/>
    <mergeCell ref="AQ92:AQ94"/>
    <mergeCell ref="I82:J82"/>
    <mergeCell ref="K82:Q82"/>
    <mergeCell ref="K84:Q84"/>
    <mergeCell ref="K85:Q85"/>
    <mergeCell ref="I84:J84"/>
    <mergeCell ref="I85:J85"/>
    <mergeCell ref="I79:J79"/>
    <mergeCell ref="G52:H52"/>
    <mergeCell ref="G53:H53"/>
    <mergeCell ref="G54:H54"/>
    <mergeCell ref="G55:H55"/>
    <mergeCell ref="G56:H56"/>
    <mergeCell ref="H94:Q94"/>
    <mergeCell ref="G79:H79"/>
    <mergeCell ref="G78:H78"/>
    <mergeCell ref="G85:H85"/>
    <mergeCell ref="G84:H84"/>
    <mergeCell ref="G83:Q83"/>
    <mergeCell ref="G82:H82"/>
    <mergeCell ref="G81:H81"/>
    <mergeCell ref="G89:Q89"/>
    <mergeCell ref="G91:Q91"/>
    <mergeCell ref="G90:Q90"/>
    <mergeCell ref="G51:S51"/>
    <mergeCell ref="G57:S57"/>
    <mergeCell ref="G58:Q58"/>
    <mergeCell ref="G59:Q59"/>
    <mergeCell ref="I52:Q52"/>
    <mergeCell ref="I53:Q53"/>
    <mergeCell ref="R53:R54"/>
    <mergeCell ref="P56:R56"/>
    <mergeCell ref="I56:O56"/>
    <mergeCell ref="I54:Q54"/>
    <mergeCell ref="S95:S96"/>
    <mergeCell ref="S97:S98"/>
    <mergeCell ref="K87:Q87"/>
    <mergeCell ref="B88:S88"/>
    <mergeCell ref="R80:S87"/>
    <mergeCell ref="G92:G93"/>
    <mergeCell ref="H92:Q92"/>
    <mergeCell ref="H93:Q93"/>
    <mergeCell ref="I78:J78"/>
    <mergeCell ref="K79:S79"/>
    <mergeCell ref="K81:Q81"/>
    <mergeCell ref="I81:J81"/>
    <mergeCell ref="S92:S94"/>
  </mergeCells>
  <phoneticPr fontId="34"/>
  <conditionalFormatting sqref="E90:F90 E97 E99:F100 E92:F92 F101 E95:F95 F91 R90:R101">
    <cfRule type="expression" dxfId="21" priority="148">
      <formula>#REF!=0</formula>
    </cfRule>
  </conditionalFormatting>
  <conditionalFormatting sqref="F99:F101">
    <cfRule type="expression" dxfId="20" priority="161">
      <formula>#REF!=2</formula>
    </cfRule>
  </conditionalFormatting>
  <conditionalFormatting sqref="F92 F95 F99:F101 R90:R101">
    <cfRule type="expression" dxfId="19" priority="166">
      <formula>#REF!&gt;2</formula>
    </cfRule>
  </conditionalFormatting>
  <conditionalFormatting sqref="K85 G94 H93:H94 G97:G99 H99 G101:H101">
    <cfRule type="expression" dxfId="18" priority="95">
      <formula>#REF!=0</formula>
    </cfRule>
  </conditionalFormatting>
  <conditionalFormatting sqref="K82">
    <cfRule type="expression" dxfId="17" priority="101">
      <formula>#REF!=0</formula>
    </cfRule>
  </conditionalFormatting>
  <conditionalFormatting sqref="K82 G94 H93:H94 G97:G99 H99 G101:H101">
    <cfRule type="expression" dxfId="16" priority="102">
      <formula>#REF!&gt;2</formula>
    </cfRule>
  </conditionalFormatting>
  <conditionalFormatting sqref="F97">
    <cfRule type="expression" dxfId="15" priority="89">
      <formula>#REF!=0</formula>
    </cfRule>
  </conditionalFormatting>
  <conditionalFormatting sqref="F97">
    <cfRule type="expression" dxfId="14" priority="90">
      <formula>#REF!&gt;2</formula>
    </cfRule>
  </conditionalFormatting>
  <conditionalFormatting sqref="K85">
    <cfRule type="expression" dxfId="13" priority="96">
      <formula>#REF!&gt;2</formula>
    </cfRule>
  </conditionalFormatting>
  <conditionalFormatting sqref="G90">
    <cfRule type="expression" dxfId="12" priority="41">
      <formula>#REF!=0</formula>
    </cfRule>
  </conditionalFormatting>
  <conditionalFormatting sqref="G96">
    <cfRule type="expression" dxfId="11" priority="16">
      <formula>#REF!=0</formula>
    </cfRule>
  </conditionalFormatting>
  <conditionalFormatting sqref="G96">
    <cfRule type="expression" dxfId="10" priority="17">
      <formula>#REF!&gt;2</formula>
    </cfRule>
  </conditionalFormatting>
  <conditionalFormatting sqref="H92">
    <cfRule type="expression" dxfId="9" priority="14">
      <formula>#REF!=0</formula>
    </cfRule>
  </conditionalFormatting>
  <conditionalFormatting sqref="H92">
    <cfRule type="expression" dxfId="8" priority="15">
      <formula>#REF!&gt;2</formula>
    </cfRule>
  </conditionalFormatting>
  <conditionalFormatting sqref="G99:H99 G101:H101">
    <cfRule type="expression" dxfId="7" priority="12">
      <formula>#REF!=2</formula>
    </cfRule>
  </conditionalFormatting>
  <conditionalFormatting sqref="G95">
    <cfRule type="expression" dxfId="6" priority="6">
      <formula>#REF!=0</formula>
    </cfRule>
  </conditionalFormatting>
  <conditionalFormatting sqref="G95">
    <cfRule type="expression" dxfId="5" priority="7">
      <formula>#REF!&gt;2</formula>
    </cfRule>
  </conditionalFormatting>
  <conditionalFormatting sqref="G92">
    <cfRule type="expression" dxfId="4" priority="4">
      <formula>#REF!=0</formula>
    </cfRule>
  </conditionalFormatting>
  <conditionalFormatting sqref="G92">
    <cfRule type="expression" dxfId="3" priority="5">
      <formula>#REF!&gt;2</formula>
    </cfRule>
  </conditionalFormatting>
  <conditionalFormatting sqref="H100:P100">
    <cfRule type="expression" dxfId="2" priority="1">
      <formula>#REF!=0</formula>
    </cfRule>
  </conditionalFormatting>
  <conditionalFormatting sqref="H100:P100">
    <cfRule type="expression" dxfId="1" priority="2">
      <formula>#REF!=2</formula>
    </cfRule>
  </conditionalFormatting>
  <conditionalFormatting sqref="H100:P100">
    <cfRule type="expression" dxfId="0" priority="3">
      <formula>#REF!&gt;2</formula>
    </cfRule>
  </conditionalFormatting>
  <dataValidations count="6">
    <dataValidation imeMode="disabled" allowBlank="1" showInputMessage="1" showErrorMessage="1" sqref="I63:L64 N63:Q64 I67:L68 N67:Q68"/>
    <dataValidation type="textLength" imeMode="disabled" operator="equal" allowBlank="1" showInputMessage="1" showErrorMessage="1" errorTitle="無効な入力" error="4桁で入力してください" prompt="4桁を入力してください" sqref="O66:P66 O55:P55">
      <formula1>4</formula1>
    </dataValidation>
    <dataValidation type="textLength" imeMode="disabled" operator="equal" allowBlank="1" showInputMessage="1" showErrorMessage="1" errorTitle="無効な入力" error="5桁で入力してください" prompt="5桁を入力してください" sqref="L66:M66 L55:M55">
      <formula1>5</formula1>
    </dataValidation>
    <dataValidation type="whole" imeMode="halfAlpha" allowBlank="1" showInputMessage="1" showErrorMessage="1" errorTitle="無効な入力" error="２桁で入力してください" prompt="2桁を入力してください" sqref="J66 J55">
      <formula1>10</formula1>
      <formula2>24</formula2>
    </dataValidation>
    <dataValidation imeMode="disabled" allowBlank="1" showInputMessage="1" showErrorMessage="1" prompt="直近の工事成績が対象　手引き要確認" sqref="I56:O56"/>
    <dataValidation allowBlank="1" showInputMessage="1" showErrorMessage="1" prompt="若手・女性技術者の「氏名」を入力" sqref="K78:Q78"/>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3" min="1" max="18"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リスト!$F$4:$F$7</xm:f>
          </x14:formula1>
          <xm:sqref>S56</xm:sqref>
        </x14:dataValidation>
        <x14:dataValidation type="list" allowBlank="1" showInputMessage="1" showErrorMessage="1">
          <x14:formula1>
            <xm:f>リスト!$M$4:$M$5</xm:f>
          </x14:formula1>
          <xm:sqref>S58:S60 R90:R98 R100:R101</xm:sqref>
        </x14:dataValidation>
        <x14:dataValidation type="list" allowBlank="1" showInputMessage="1" showErrorMessage="1">
          <x14:formula1>
            <xm:f>リスト2!$C$3:$C$64</xm:f>
          </x14:formula1>
          <xm:sqref>K81 K84 S90:S92 S95 S97 S99:S101</xm:sqref>
        </x14:dataValidation>
        <x14:dataValidation type="list" allowBlank="1" showInputMessage="1" showErrorMessage="1" prompt="同一発注種別の工事成績が対象">
          <x14:formula1>
            <xm:f>リスト!$H$4:$H$9</xm:f>
          </x14:formula1>
          <xm:sqref>S55</xm:sqref>
        </x14:dataValidation>
        <x14:dataValidation type="list" allowBlank="1" showInputMessage="1" showErrorMessage="1">
          <x14:formula1>
            <xm:f>リスト!$N$5:$N$7</xm:f>
          </x14:formula1>
          <xm:sqref>K85</xm:sqref>
        </x14:dataValidation>
        <x14:dataValidation type="list" allowBlank="1" showInputMessage="1" showErrorMessage="1">
          <x14:formula1>
            <xm:f>リスト!$N$4:$N$7</xm:f>
          </x14:formula1>
          <xm:sqref>K82</xm:sqref>
        </x14:dataValidation>
        <x14:dataValidation type="list" allowBlank="1" showInputMessage="1" showErrorMessage="1">
          <x14:formula1>
            <xm:f>リスト!$K$9:$K$12</xm:f>
          </x14:formula1>
          <xm:sqref>K79</xm:sqref>
        </x14:dataValidation>
        <x14:dataValidation type="list" allowBlank="1" showInputMessage="1" showErrorMessage="1">
          <x14:formula1>
            <xm:f>リスト!$E$4:$E$6</xm:f>
          </x14:formula1>
          <xm:sqref>I53:Q53</xm:sqref>
        </x14:dataValidation>
        <x14:dataValidation type="list" allowBlank="1" showInputMessage="1" showErrorMessage="1" prompt="選択">
          <x14:formula1>
            <xm:f>リスト!$O$4:$O$6</xm:f>
          </x14:formula1>
          <xm:sqref>R78:S78</xm:sqref>
        </x14:dataValidation>
        <x14:dataValidation type="list" allowBlank="1" showInputMessage="1" showErrorMessage="1">
          <x14:formula1>
            <xm:f>リスト!$Q$4:$Q$6</xm:f>
          </x14:formula1>
          <xm:sqref>G94 G101</xm:sqref>
        </x14:dataValidation>
        <x14:dataValidation type="list" allowBlank="1" showInputMessage="1" showErrorMessage="1" prompt="一般土木工事及び舗装工事の場合">
          <x14:formula1>
            <xm:f>リスト!$M$4:$M$5</xm:f>
          </x14:formula1>
          <xm:sqref>R99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R15" sqref="R15"/>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42</v>
      </c>
      <c r="B3" s="2" t="s">
        <v>36</v>
      </c>
      <c r="E3" s="2" t="s">
        <v>17</v>
      </c>
      <c r="F3" s="2" t="s">
        <v>137</v>
      </c>
      <c r="G3" s="2" t="s">
        <v>142</v>
      </c>
      <c r="H3" s="2" t="s">
        <v>124</v>
      </c>
      <c r="I3" s="2" t="s">
        <v>18</v>
      </c>
      <c r="K3" s="3" t="s">
        <v>19</v>
      </c>
      <c r="L3" s="2" t="s">
        <v>20</v>
      </c>
      <c r="M3" s="2" t="s">
        <v>21</v>
      </c>
      <c r="N3" s="2" t="s">
        <v>232</v>
      </c>
      <c r="O3" s="2" t="s">
        <v>258</v>
      </c>
      <c r="Q3" s="216" t="s">
        <v>351</v>
      </c>
    </row>
    <row r="4" spans="1:17" x14ac:dyDescent="0.2">
      <c r="A4" s="2" t="s">
        <v>41</v>
      </c>
      <c r="B4" s="2" t="s">
        <v>37</v>
      </c>
      <c r="E4" s="2" t="s">
        <v>22</v>
      </c>
      <c r="F4" s="2" t="s">
        <v>309</v>
      </c>
      <c r="G4" s="2" t="s">
        <v>138</v>
      </c>
      <c r="H4" s="2" t="s">
        <v>33</v>
      </c>
      <c r="I4" s="2" t="s">
        <v>175</v>
      </c>
      <c r="K4" s="2" t="s">
        <v>202</v>
      </c>
      <c r="L4" s="2" t="s">
        <v>25</v>
      </c>
      <c r="M4" s="2" t="s">
        <v>26</v>
      </c>
      <c r="N4" s="2" t="s">
        <v>233</v>
      </c>
      <c r="O4" s="2" t="s">
        <v>347</v>
      </c>
      <c r="Q4" s="216" t="s">
        <v>352</v>
      </c>
    </row>
    <row r="5" spans="1:17" x14ac:dyDescent="0.2">
      <c r="A5" s="2" t="s">
        <v>40</v>
      </c>
      <c r="B5" s="2" t="s">
        <v>38</v>
      </c>
      <c r="E5" s="2" t="s">
        <v>28</v>
      </c>
      <c r="F5" s="2" t="s">
        <v>310</v>
      </c>
      <c r="G5" s="2" t="s">
        <v>33</v>
      </c>
      <c r="H5" s="2" t="s">
        <v>125</v>
      </c>
      <c r="I5" s="2" t="s">
        <v>5</v>
      </c>
      <c r="K5" s="2" t="s">
        <v>33</v>
      </c>
      <c r="L5" s="2" t="s">
        <v>30</v>
      </c>
      <c r="M5" s="2" t="s">
        <v>33</v>
      </c>
      <c r="N5" s="2" t="s">
        <v>27</v>
      </c>
      <c r="O5" s="2" t="s">
        <v>348</v>
      </c>
      <c r="Q5" s="2" t="s">
        <v>353</v>
      </c>
    </row>
    <row r="6" spans="1:17" x14ac:dyDescent="0.2">
      <c r="A6" s="2" t="s">
        <v>308</v>
      </c>
      <c r="B6" s="2" t="s">
        <v>6</v>
      </c>
      <c r="E6" s="2" t="s">
        <v>31</v>
      </c>
      <c r="F6" s="2" t="s">
        <v>139</v>
      </c>
      <c r="H6" s="2" t="s">
        <v>126</v>
      </c>
      <c r="I6" s="2" t="s">
        <v>33</v>
      </c>
      <c r="L6" s="2" t="s">
        <v>33</v>
      </c>
      <c r="N6" s="2" t="s">
        <v>5</v>
      </c>
      <c r="O6" s="2" t="s">
        <v>33</v>
      </c>
      <c r="Q6" s="2" t="s">
        <v>354</v>
      </c>
    </row>
    <row r="7" spans="1:17" x14ac:dyDescent="0.2">
      <c r="B7" s="2" t="s">
        <v>39</v>
      </c>
      <c r="E7" s="2" t="s">
        <v>33</v>
      </c>
      <c r="F7" s="2" t="s">
        <v>311</v>
      </c>
      <c r="H7" s="2" t="s">
        <v>179</v>
      </c>
      <c r="N7" s="2" t="s">
        <v>33</v>
      </c>
    </row>
    <row r="8" spans="1:17" x14ac:dyDescent="0.2">
      <c r="H8" s="2" t="s">
        <v>180</v>
      </c>
    </row>
    <row r="9" spans="1:17" x14ac:dyDescent="0.2">
      <c r="H9" s="2" t="s">
        <v>181</v>
      </c>
      <c r="K9" s="2" t="s">
        <v>203</v>
      </c>
    </row>
    <row r="10" spans="1:17" x14ac:dyDescent="0.2">
      <c r="H10" s="2" t="s">
        <v>182</v>
      </c>
      <c r="K10" s="2" t="s">
        <v>204</v>
      </c>
    </row>
    <row r="11" spans="1:17" x14ac:dyDescent="0.2">
      <c r="H11" s="2" t="s">
        <v>183</v>
      </c>
      <c r="K11" s="2" t="s">
        <v>206</v>
      </c>
    </row>
    <row r="12" spans="1:17" x14ac:dyDescent="0.2">
      <c r="H12" s="2" t="s">
        <v>184</v>
      </c>
      <c r="K12" s="2" t="s">
        <v>205</v>
      </c>
    </row>
    <row r="13" spans="1:17" x14ac:dyDescent="0.2">
      <c r="H13" s="2" t="s">
        <v>185</v>
      </c>
    </row>
    <row r="14" spans="1:17" x14ac:dyDescent="0.2">
      <c r="H14" s="2" t="s">
        <v>186</v>
      </c>
    </row>
    <row r="15" spans="1:17" x14ac:dyDescent="0.2">
      <c r="H15" s="2" t="s">
        <v>187</v>
      </c>
    </row>
    <row r="16" spans="1:17" x14ac:dyDescent="0.2">
      <c r="H16" s="2" t="s">
        <v>188</v>
      </c>
    </row>
    <row r="17" spans="8:8" x14ac:dyDescent="0.2">
      <c r="H17" s="2" t="s">
        <v>189</v>
      </c>
    </row>
    <row r="18" spans="8:8" x14ac:dyDescent="0.2">
      <c r="H18" s="2" t="s">
        <v>190</v>
      </c>
    </row>
    <row r="19" spans="8:8" x14ac:dyDescent="0.2">
      <c r="H19" s="2" t="s">
        <v>191</v>
      </c>
    </row>
    <row r="20" spans="8:8" x14ac:dyDescent="0.2">
      <c r="H20" s="2" t="s">
        <v>192</v>
      </c>
    </row>
    <row r="21" spans="8:8" x14ac:dyDescent="0.2">
      <c r="H21" s="2" t="s">
        <v>193</v>
      </c>
    </row>
    <row r="22" spans="8:8" x14ac:dyDescent="0.2">
      <c r="H22" s="2" t="s">
        <v>194</v>
      </c>
    </row>
  </sheetData>
  <sheetProtection password="F450" sheet="1" objects="1" scenarios="1"/>
  <phoneticPr fontId="3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F2" sqref="F2"/>
    </sheetView>
  </sheetViews>
  <sheetFormatPr defaultRowHeight="13.2" x14ac:dyDescent="0.2"/>
  <cols>
    <col min="3" max="3" width="29.21875" customWidth="1"/>
    <col min="4" max="4" width="21" customWidth="1"/>
    <col min="5" max="5" width="23.109375" customWidth="1"/>
  </cols>
  <sheetData>
    <row r="2" spans="2:9" ht="39" customHeight="1" x14ac:dyDescent="0.2">
      <c r="B2" s="4" t="s">
        <v>147</v>
      </c>
      <c r="C2" s="4" t="s">
        <v>121</v>
      </c>
      <c r="D2" s="5" t="s">
        <v>146</v>
      </c>
      <c r="E2" s="4" t="s">
        <v>122</v>
      </c>
      <c r="F2" s="134" t="s">
        <v>292</v>
      </c>
      <c r="G2" s="4" t="s">
        <v>36</v>
      </c>
      <c r="H2" s="1" t="s">
        <v>198</v>
      </c>
      <c r="I2" s="1"/>
    </row>
    <row r="3" spans="2:9" x14ac:dyDescent="0.2">
      <c r="B3" s="6">
        <v>1</v>
      </c>
      <c r="C3" s="6" t="s">
        <v>64</v>
      </c>
      <c r="D3" s="6" t="s">
        <v>43</v>
      </c>
      <c r="E3" s="6" t="s">
        <v>59</v>
      </c>
      <c r="F3" s="1" t="s">
        <v>6</v>
      </c>
      <c r="G3" s="6" t="s">
        <v>37</v>
      </c>
      <c r="H3" s="1" t="s">
        <v>150</v>
      </c>
      <c r="I3" s="1">
        <v>2</v>
      </c>
    </row>
    <row r="4" spans="2:9" x14ac:dyDescent="0.2">
      <c r="B4" s="6">
        <v>2</v>
      </c>
      <c r="C4" s="6" t="s">
        <v>65</v>
      </c>
      <c r="D4" s="6" t="s">
        <v>43</v>
      </c>
      <c r="E4" s="6" t="s">
        <v>59</v>
      </c>
      <c r="F4" s="1" t="s">
        <v>6</v>
      </c>
      <c r="G4" s="6" t="s">
        <v>38</v>
      </c>
      <c r="H4" s="1" t="s">
        <v>151</v>
      </c>
      <c r="I4" s="1">
        <v>3</v>
      </c>
    </row>
    <row r="5" spans="2:9" x14ac:dyDescent="0.2">
      <c r="B5" s="6">
        <v>3</v>
      </c>
      <c r="C5" s="6" t="s">
        <v>66</v>
      </c>
      <c r="D5" s="6" t="s">
        <v>44</v>
      </c>
      <c r="E5" s="6" t="s">
        <v>59</v>
      </c>
      <c r="F5" s="1" t="s">
        <v>6</v>
      </c>
      <c r="G5" s="6" t="s">
        <v>6</v>
      </c>
      <c r="H5" s="1" t="s">
        <v>151</v>
      </c>
      <c r="I5" s="1">
        <v>3</v>
      </c>
    </row>
    <row r="6" spans="2:9" x14ac:dyDescent="0.2">
      <c r="B6" s="6">
        <v>4</v>
      </c>
      <c r="C6" s="6" t="s">
        <v>67</v>
      </c>
      <c r="D6" s="6" t="s">
        <v>44</v>
      </c>
      <c r="E6" s="6" t="s">
        <v>59</v>
      </c>
      <c r="F6" s="1" t="s">
        <v>6</v>
      </c>
      <c r="G6" s="6" t="s">
        <v>39</v>
      </c>
      <c r="H6" s="1" t="s">
        <v>6</v>
      </c>
      <c r="I6" s="1">
        <v>4</v>
      </c>
    </row>
    <row r="7" spans="2:9" x14ac:dyDescent="0.2">
      <c r="B7" s="6">
        <v>5</v>
      </c>
      <c r="C7" s="6" t="s">
        <v>68</v>
      </c>
      <c r="D7" s="6" t="s">
        <v>44</v>
      </c>
      <c r="E7" s="6" t="s">
        <v>59</v>
      </c>
      <c r="F7" s="1" t="s">
        <v>6</v>
      </c>
      <c r="G7" s="6" t="s">
        <v>33</v>
      </c>
      <c r="H7" s="1"/>
      <c r="I7" s="1"/>
    </row>
    <row r="8" spans="2:9" x14ac:dyDescent="0.2">
      <c r="B8" s="6">
        <v>6</v>
      </c>
      <c r="C8" s="6" t="s">
        <v>69</v>
      </c>
      <c r="D8" s="6" t="s">
        <v>45</v>
      </c>
      <c r="E8" s="6" t="s">
        <v>59</v>
      </c>
      <c r="F8" s="1" t="s">
        <v>6</v>
      </c>
    </row>
    <row r="9" spans="2:9" x14ac:dyDescent="0.2">
      <c r="B9" s="6">
        <v>7</v>
      </c>
      <c r="C9" s="6" t="s">
        <v>70</v>
      </c>
      <c r="D9" s="6" t="s">
        <v>45</v>
      </c>
      <c r="E9" s="6" t="s">
        <v>59</v>
      </c>
      <c r="F9" s="1" t="s">
        <v>6</v>
      </c>
    </row>
    <row r="10" spans="2:9" x14ac:dyDescent="0.2">
      <c r="B10" s="6">
        <v>8</v>
      </c>
      <c r="C10" s="6" t="s">
        <v>71</v>
      </c>
      <c r="D10" s="6" t="s">
        <v>45</v>
      </c>
      <c r="E10" s="6" t="s">
        <v>59</v>
      </c>
      <c r="F10" s="1" t="s">
        <v>6</v>
      </c>
    </row>
    <row r="11" spans="2:9" x14ac:dyDescent="0.2">
      <c r="B11" s="6">
        <v>9</v>
      </c>
      <c r="C11" s="6" t="s">
        <v>72</v>
      </c>
      <c r="D11" s="6" t="s">
        <v>51</v>
      </c>
      <c r="E11" s="6" t="s">
        <v>46</v>
      </c>
      <c r="F11" s="1" t="s">
        <v>6</v>
      </c>
    </row>
    <row r="12" spans="2:9" x14ac:dyDescent="0.2">
      <c r="B12" s="6">
        <v>10</v>
      </c>
      <c r="C12" s="6" t="s">
        <v>73</v>
      </c>
      <c r="D12" s="6" t="s">
        <v>47</v>
      </c>
      <c r="E12" s="6" t="s">
        <v>46</v>
      </c>
      <c r="F12" s="1" t="s">
        <v>6</v>
      </c>
    </row>
    <row r="13" spans="2:9" x14ac:dyDescent="0.2">
      <c r="B13" s="6">
        <v>11</v>
      </c>
      <c r="C13" s="6" t="s">
        <v>74</v>
      </c>
      <c r="D13" s="6" t="s">
        <v>47</v>
      </c>
      <c r="E13" s="6" t="s">
        <v>46</v>
      </c>
      <c r="F13" s="1" t="s">
        <v>6</v>
      </c>
    </row>
    <row r="14" spans="2:9" x14ac:dyDescent="0.2">
      <c r="B14" s="6">
        <v>12</v>
      </c>
      <c r="C14" s="6" t="s">
        <v>75</v>
      </c>
      <c r="D14" s="6" t="s">
        <v>47</v>
      </c>
      <c r="E14" s="6" t="s">
        <v>46</v>
      </c>
      <c r="F14" s="1" t="s">
        <v>6</v>
      </c>
    </row>
    <row r="15" spans="2:9" x14ac:dyDescent="0.2">
      <c r="B15" s="6">
        <v>13</v>
      </c>
      <c r="C15" s="6" t="s">
        <v>76</v>
      </c>
      <c r="D15" s="6" t="s">
        <v>48</v>
      </c>
      <c r="E15" s="6" t="s">
        <v>46</v>
      </c>
      <c r="F15" s="1" t="s">
        <v>6</v>
      </c>
    </row>
    <row r="16" spans="2:9" x14ac:dyDescent="0.2">
      <c r="B16" s="6">
        <v>14</v>
      </c>
      <c r="C16" s="6" t="s">
        <v>77</v>
      </c>
      <c r="D16" s="6" t="s">
        <v>48</v>
      </c>
      <c r="E16" s="6" t="s">
        <v>46</v>
      </c>
      <c r="F16" s="1" t="s">
        <v>6</v>
      </c>
    </row>
    <row r="17" spans="2:6" x14ac:dyDescent="0.2">
      <c r="B17" s="6">
        <v>15</v>
      </c>
      <c r="C17" s="6" t="s">
        <v>78</v>
      </c>
      <c r="D17" s="6" t="s">
        <v>48</v>
      </c>
      <c r="E17" s="6" t="s">
        <v>46</v>
      </c>
      <c r="F17" s="1" t="s">
        <v>6</v>
      </c>
    </row>
    <row r="18" spans="2:6" x14ac:dyDescent="0.2">
      <c r="B18" s="6">
        <v>16</v>
      </c>
      <c r="C18" s="6" t="s">
        <v>79</v>
      </c>
      <c r="D18" s="6" t="s">
        <v>49</v>
      </c>
      <c r="E18" s="6" t="s">
        <v>46</v>
      </c>
      <c r="F18" s="1" t="s">
        <v>6</v>
      </c>
    </row>
    <row r="19" spans="2:6" x14ac:dyDescent="0.2">
      <c r="B19" s="6">
        <v>17</v>
      </c>
      <c r="C19" s="6" t="s">
        <v>80</v>
      </c>
      <c r="D19" s="6" t="s">
        <v>49</v>
      </c>
      <c r="E19" s="6" t="s">
        <v>46</v>
      </c>
      <c r="F19" s="1" t="s">
        <v>6</v>
      </c>
    </row>
    <row r="20" spans="2:6" x14ac:dyDescent="0.2">
      <c r="B20" s="6">
        <v>18</v>
      </c>
      <c r="C20" s="6" t="s">
        <v>81</v>
      </c>
      <c r="D20" s="6" t="s">
        <v>49</v>
      </c>
      <c r="E20" s="6" t="s">
        <v>46</v>
      </c>
      <c r="F20" s="1" t="s">
        <v>6</v>
      </c>
    </row>
    <row r="21" spans="2:6" x14ac:dyDescent="0.2">
      <c r="B21" s="6">
        <v>19</v>
      </c>
      <c r="C21" s="6" t="s">
        <v>82</v>
      </c>
      <c r="D21" s="6" t="s">
        <v>49</v>
      </c>
      <c r="E21" s="6" t="s">
        <v>46</v>
      </c>
      <c r="F21" s="1" t="s">
        <v>6</v>
      </c>
    </row>
    <row r="22" spans="2:6" x14ac:dyDescent="0.2">
      <c r="B22" s="6">
        <v>20</v>
      </c>
      <c r="C22" s="6" t="s">
        <v>83</v>
      </c>
      <c r="D22" s="6" t="s">
        <v>49</v>
      </c>
      <c r="E22" s="6" t="s">
        <v>46</v>
      </c>
      <c r="F22" s="1" t="s">
        <v>6</v>
      </c>
    </row>
    <row r="23" spans="2:6" x14ac:dyDescent="0.2">
      <c r="B23" s="6">
        <v>21</v>
      </c>
      <c r="C23" s="6" t="s">
        <v>84</v>
      </c>
      <c r="D23" s="6" t="s">
        <v>50</v>
      </c>
      <c r="E23" s="7" t="s">
        <v>60</v>
      </c>
      <c r="F23" s="1" t="s">
        <v>6</v>
      </c>
    </row>
    <row r="24" spans="2:6" x14ac:dyDescent="0.2">
      <c r="B24" s="6">
        <v>22</v>
      </c>
      <c r="C24" s="6" t="s">
        <v>85</v>
      </c>
      <c r="D24" s="6" t="s">
        <v>50</v>
      </c>
      <c r="E24" s="7" t="s">
        <v>60</v>
      </c>
      <c r="F24" s="1" t="s">
        <v>6</v>
      </c>
    </row>
    <row r="25" spans="2:6" x14ac:dyDescent="0.2">
      <c r="B25" s="6">
        <v>23</v>
      </c>
      <c r="C25" s="6" t="s">
        <v>86</v>
      </c>
      <c r="D25" s="6" t="s">
        <v>50</v>
      </c>
      <c r="E25" s="7" t="s">
        <v>60</v>
      </c>
      <c r="F25" s="1" t="s">
        <v>6</v>
      </c>
    </row>
    <row r="26" spans="2:6" x14ac:dyDescent="0.2">
      <c r="B26" s="6">
        <v>24</v>
      </c>
      <c r="C26" s="6" t="s">
        <v>87</v>
      </c>
      <c r="D26" s="6" t="s">
        <v>50</v>
      </c>
      <c r="E26" s="7" t="s">
        <v>60</v>
      </c>
      <c r="F26" s="1" t="s">
        <v>6</v>
      </c>
    </row>
    <row r="27" spans="2:6" x14ac:dyDescent="0.2">
      <c r="B27" s="6">
        <v>25</v>
      </c>
      <c r="C27" s="6" t="s">
        <v>88</v>
      </c>
      <c r="D27" s="6" t="s">
        <v>50</v>
      </c>
      <c r="E27" s="7" t="s">
        <v>60</v>
      </c>
      <c r="F27" s="1" t="s">
        <v>6</v>
      </c>
    </row>
    <row r="28" spans="2:6" x14ac:dyDescent="0.2">
      <c r="B28" s="6">
        <v>26</v>
      </c>
      <c r="C28" s="6" t="s">
        <v>89</v>
      </c>
      <c r="D28" s="6" t="s">
        <v>52</v>
      </c>
      <c r="E28" s="7" t="s">
        <v>60</v>
      </c>
      <c r="F28" s="1" t="s">
        <v>6</v>
      </c>
    </row>
    <row r="29" spans="2:6" x14ac:dyDescent="0.2">
      <c r="B29" s="6">
        <v>27</v>
      </c>
      <c r="C29" s="6" t="s">
        <v>90</v>
      </c>
      <c r="D29" s="6" t="s">
        <v>52</v>
      </c>
      <c r="E29" s="7" t="s">
        <v>60</v>
      </c>
      <c r="F29" s="1" t="s">
        <v>6</v>
      </c>
    </row>
    <row r="30" spans="2:6" x14ac:dyDescent="0.2">
      <c r="B30" s="6">
        <v>28</v>
      </c>
      <c r="C30" s="6" t="s">
        <v>91</v>
      </c>
      <c r="D30" s="6" t="s">
        <v>52</v>
      </c>
      <c r="E30" s="7" t="s">
        <v>60</v>
      </c>
      <c r="F30" s="1" t="s">
        <v>6</v>
      </c>
    </row>
    <row r="31" spans="2:6" x14ac:dyDescent="0.2">
      <c r="B31" s="6">
        <v>29</v>
      </c>
      <c r="C31" s="6" t="s">
        <v>92</v>
      </c>
      <c r="D31" s="6" t="s">
        <v>52</v>
      </c>
      <c r="E31" s="7" t="s">
        <v>60</v>
      </c>
      <c r="F31" s="1" t="s">
        <v>6</v>
      </c>
    </row>
    <row r="32" spans="2:6" x14ac:dyDescent="0.2">
      <c r="B32" s="6">
        <v>30</v>
      </c>
      <c r="C32" s="6" t="s">
        <v>93</v>
      </c>
      <c r="D32" s="6" t="s">
        <v>53</v>
      </c>
      <c r="E32" s="7" t="s">
        <v>61</v>
      </c>
      <c r="F32" s="1" t="s">
        <v>6</v>
      </c>
    </row>
    <row r="33" spans="2:6" x14ac:dyDescent="0.2">
      <c r="B33" s="6">
        <v>31</v>
      </c>
      <c r="C33" s="6" t="s">
        <v>94</v>
      </c>
      <c r="D33" s="6" t="s">
        <v>53</v>
      </c>
      <c r="E33" s="7" t="s">
        <v>61</v>
      </c>
      <c r="F33" s="1" t="s">
        <v>6</v>
      </c>
    </row>
    <row r="34" spans="2:6" x14ac:dyDescent="0.2">
      <c r="B34" s="6">
        <v>32</v>
      </c>
      <c r="C34" s="6" t="s">
        <v>95</v>
      </c>
      <c r="D34" s="6" t="s">
        <v>53</v>
      </c>
      <c r="E34" s="7" t="s">
        <v>61</v>
      </c>
      <c r="F34" s="1" t="s">
        <v>6</v>
      </c>
    </row>
    <row r="35" spans="2:6" x14ac:dyDescent="0.2">
      <c r="B35" s="6">
        <v>33</v>
      </c>
      <c r="C35" s="6" t="s">
        <v>96</v>
      </c>
      <c r="D35" s="6" t="s">
        <v>53</v>
      </c>
      <c r="E35" s="7" t="s">
        <v>61</v>
      </c>
      <c r="F35" s="1" t="s">
        <v>6</v>
      </c>
    </row>
    <row r="36" spans="2:6" x14ac:dyDescent="0.2">
      <c r="B36" s="6">
        <v>34</v>
      </c>
      <c r="C36" s="6" t="s">
        <v>97</v>
      </c>
      <c r="D36" s="6" t="s">
        <v>54</v>
      </c>
      <c r="E36" s="7" t="s">
        <v>61</v>
      </c>
      <c r="F36" s="1" t="s">
        <v>6</v>
      </c>
    </row>
    <row r="37" spans="2:6" x14ac:dyDescent="0.2">
      <c r="B37" s="6">
        <v>35</v>
      </c>
      <c r="C37" s="6" t="s">
        <v>98</v>
      </c>
      <c r="D37" s="6" t="s">
        <v>54</v>
      </c>
      <c r="E37" s="7" t="s">
        <v>61</v>
      </c>
      <c r="F37" s="1" t="s">
        <v>6</v>
      </c>
    </row>
    <row r="38" spans="2:6" x14ac:dyDescent="0.2">
      <c r="B38" s="6">
        <v>36</v>
      </c>
      <c r="C38" s="6" t="s">
        <v>99</v>
      </c>
      <c r="D38" s="6" t="s">
        <v>54</v>
      </c>
      <c r="E38" s="7" t="s">
        <v>61</v>
      </c>
      <c r="F38" s="1" t="s">
        <v>6</v>
      </c>
    </row>
    <row r="39" spans="2:6" x14ac:dyDescent="0.2">
      <c r="B39" s="6">
        <v>37</v>
      </c>
      <c r="C39" s="6" t="s">
        <v>100</v>
      </c>
      <c r="D39" s="6" t="s">
        <v>54</v>
      </c>
      <c r="E39" s="7" t="s">
        <v>61</v>
      </c>
      <c r="F39" s="1" t="s">
        <v>6</v>
      </c>
    </row>
    <row r="40" spans="2:6" x14ac:dyDescent="0.2">
      <c r="B40" s="6">
        <v>38</v>
      </c>
      <c r="C40" s="6" t="s">
        <v>23</v>
      </c>
      <c r="D40" s="6" t="s">
        <v>24</v>
      </c>
      <c r="E40" s="6" t="s">
        <v>25</v>
      </c>
      <c r="F40" s="1" t="s">
        <v>6</v>
      </c>
    </row>
    <row r="41" spans="2:6" x14ac:dyDescent="0.2">
      <c r="B41" s="6">
        <v>39</v>
      </c>
      <c r="C41" s="6" t="s">
        <v>105</v>
      </c>
      <c r="D41" s="6" t="s">
        <v>24</v>
      </c>
      <c r="E41" s="6" t="s">
        <v>25</v>
      </c>
      <c r="F41" s="1" t="s">
        <v>6</v>
      </c>
    </row>
    <row r="42" spans="2:6" x14ac:dyDescent="0.2">
      <c r="B42" s="6">
        <v>40</v>
      </c>
      <c r="C42" s="6" t="s">
        <v>32</v>
      </c>
      <c r="D42" s="6" t="s">
        <v>24</v>
      </c>
      <c r="E42" s="6" t="s">
        <v>25</v>
      </c>
      <c r="F42" s="1" t="s">
        <v>6</v>
      </c>
    </row>
    <row r="43" spans="2:6" x14ac:dyDescent="0.2">
      <c r="B43" s="6">
        <v>41</v>
      </c>
      <c r="C43" s="6" t="s">
        <v>34</v>
      </c>
      <c r="D43" s="6" t="s">
        <v>29</v>
      </c>
      <c r="E43" s="6" t="s">
        <v>25</v>
      </c>
      <c r="F43" s="1" t="s">
        <v>6</v>
      </c>
    </row>
    <row r="44" spans="2:6" x14ac:dyDescent="0.2">
      <c r="B44" s="6">
        <v>42</v>
      </c>
      <c r="C44" s="6" t="s">
        <v>35</v>
      </c>
      <c r="D44" s="6" t="s">
        <v>29</v>
      </c>
      <c r="E44" s="6" t="s">
        <v>25</v>
      </c>
      <c r="F44" s="1" t="s">
        <v>6</v>
      </c>
    </row>
    <row r="45" spans="2:6" x14ac:dyDescent="0.2">
      <c r="B45" s="6">
        <v>43</v>
      </c>
      <c r="C45" s="6" t="s">
        <v>106</v>
      </c>
      <c r="D45" s="6" t="s">
        <v>29</v>
      </c>
      <c r="E45" s="6" t="s">
        <v>25</v>
      </c>
      <c r="F45" s="1" t="s">
        <v>6</v>
      </c>
    </row>
    <row r="46" spans="2:6" x14ac:dyDescent="0.2">
      <c r="B46" s="6">
        <v>44</v>
      </c>
      <c r="C46" s="6" t="s">
        <v>101</v>
      </c>
      <c r="D46" s="6" t="s">
        <v>55</v>
      </c>
      <c r="E46" s="6" t="s">
        <v>30</v>
      </c>
      <c r="F46" s="1" t="s">
        <v>6</v>
      </c>
    </row>
    <row r="47" spans="2:6" x14ac:dyDescent="0.2">
      <c r="B47" s="6">
        <v>45</v>
      </c>
      <c r="C47" s="6" t="s">
        <v>103</v>
      </c>
      <c r="D47" s="6" t="s">
        <v>55</v>
      </c>
      <c r="E47" s="6" t="s">
        <v>30</v>
      </c>
      <c r="F47" s="1" t="s">
        <v>6</v>
      </c>
    </row>
    <row r="48" spans="2:6" x14ac:dyDescent="0.2">
      <c r="B48" s="6">
        <v>46</v>
      </c>
      <c r="C48" s="6" t="s">
        <v>104</v>
      </c>
      <c r="D48" s="6" t="s">
        <v>56</v>
      </c>
      <c r="E48" s="6" t="s">
        <v>30</v>
      </c>
      <c r="F48" s="1" t="s">
        <v>6</v>
      </c>
    </row>
    <row r="49" spans="2:6" x14ac:dyDescent="0.2">
      <c r="B49" s="6">
        <v>47</v>
      </c>
      <c r="C49" s="6" t="s">
        <v>102</v>
      </c>
      <c r="D49" s="6" t="s">
        <v>56</v>
      </c>
      <c r="E49" s="6" t="s">
        <v>30</v>
      </c>
      <c r="F49" s="1" t="s">
        <v>6</v>
      </c>
    </row>
    <row r="50" spans="2:6" x14ac:dyDescent="0.2">
      <c r="B50" s="6">
        <v>48</v>
      </c>
      <c r="C50" s="6" t="s">
        <v>107</v>
      </c>
      <c r="D50" s="6" t="s">
        <v>56</v>
      </c>
      <c r="E50" s="6" t="s">
        <v>30</v>
      </c>
      <c r="F50" s="1" t="s">
        <v>6</v>
      </c>
    </row>
    <row r="51" spans="2:6" x14ac:dyDescent="0.2">
      <c r="B51" s="6">
        <v>49</v>
      </c>
      <c r="C51" s="6" t="s">
        <v>108</v>
      </c>
      <c r="D51" s="6" t="s">
        <v>57</v>
      </c>
      <c r="E51" s="6" t="s">
        <v>62</v>
      </c>
      <c r="F51" s="1" t="s">
        <v>6</v>
      </c>
    </row>
    <row r="52" spans="2:6" x14ac:dyDescent="0.2">
      <c r="B52" s="6">
        <v>50</v>
      </c>
      <c r="C52" s="6" t="s">
        <v>109</v>
      </c>
      <c r="D52" s="6" t="s">
        <v>57</v>
      </c>
      <c r="E52" s="6" t="s">
        <v>62</v>
      </c>
      <c r="F52" s="1" t="s">
        <v>6</v>
      </c>
    </row>
    <row r="53" spans="2:6" x14ac:dyDescent="0.2">
      <c r="B53" s="6">
        <v>51</v>
      </c>
      <c r="C53" s="6" t="s">
        <v>110</v>
      </c>
      <c r="D53" s="6" t="s">
        <v>57</v>
      </c>
      <c r="E53" s="6" t="s">
        <v>62</v>
      </c>
      <c r="F53" s="1" t="s">
        <v>6</v>
      </c>
    </row>
    <row r="54" spans="2:6" x14ac:dyDescent="0.2">
      <c r="B54" s="6">
        <v>52</v>
      </c>
      <c r="C54" s="6" t="s">
        <v>111</v>
      </c>
      <c r="D54" s="6" t="s">
        <v>57</v>
      </c>
      <c r="E54" s="6" t="s">
        <v>62</v>
      </c>
      <c r="F54" s="1" t="s">
        <v>6</v>
      </c>
    </row>
    <row r="55" spans="2:6" x14ac:dyDescent="0.2">
      <c r="B55" s="6">
        <v>53</v>
      </c>
      <c r="C55" s="6" t="s">
        <v>112</v>
      </c>
      <c r="D55" s="6" t="s">
        <v>58</v>
      </c>
      <c r="E55" s="6" t="s">
        <v>62</v>
      </c>
      <c r="F55" s="1" t="s">
        <v>6</v>
      </c>
    </row>
    <row r="56" spans="2:6" x14ac:dyDescent="0.2">
      <c r="B56" s="6">
        <v>54</v>
      </c>
      <c r="C56" s="6" t="s">
        <v>113</v>
      </c>
      <c r="D56" s="6" t="s">
        <v>58</v>
      </c>
      <c r="E56" s="6" t="s">
        <v>62</v>
      </c>
      <c r="F56" s="1" t="s">
        <v>6</v>
      </c>
    </row>
    <row r="57" spans="2:6" x14ac:dyDescent="0.2">
      <c r="B57" s="6">
        <v>55</v>
      </c>
      <c r="C57" s="6" t="s">
        <v>114</v>
      </c>
      <c r="D57" s="6" t="s">
        <v>58</v>
      </c>
      <c r="E57" s="6" t="s">
        <v>62</v>
      </c>
      <c r="F57" s="1" t="s">
        <v>6</v>
      </c>
    </row>
    <row r="58" spans="2:6" x14ac:dyDescent="0.2">
      <c r="B58" s="6">
        <v>56</v>
      </c>
      <c r="C58" s="6" t="s">
        <v>115</v>
      </c>
      <c r="D58" s="6" t="s">
        <v>58</v>
      </c>
      <c r="E58" s="6" t="s">
        <v>62</v>
      </c>
      <c r="F58" s="1" t="s">
        <v>6</v>
      </c>
    </row>
    <row r="59" spans="2:6" x14ac:dyDescent="0.2">
      <c r="B59" s="6">
        <v>57</v>
      </c>
      <c r="C59" s="6" t="s">
        <v>116</v>
      </c>
      <c r="D59" s="6" t="s">
        <v>58</v>
      </c>
      <c r="E59" s="6" t="s">
        <v>62</v>
      </c>
      <c r="F59" s="1" t="s">
        <v>6</v>
      </c>
    </row>
    <row r="60" spans="2:6" x14ac:dyDescent="0.2">
      <c r="B60" s="6">
        <v>58</v>
      </c>
      <c r="C60" s="6" t="s">
        <v>117</v>
      </c>
      <c r="D60" s="6" t="s">
        <v>58</v>
      </c>
      <c r="E60" s="6" t="s">
        <v>62</v>
      </c>
      <c r="F60" s="1" t="s">
        <v>6</v>
      </c>
    </row>
    <row r="61" spans="2:6" x14ac:dyDescent="0.2">
      <c r="B61" s="6">
        <v>59</v>
      </c>
      <c r="C61" s="6" t="s">
        <v>118</v>
      </c>
      <c r="D61" s="6" t="s">
        <v>58</v>
      </c>
      <c r="E61" s="6" t="s">
        <v>62</v>
      </c>
      <c r="F61" s="1" t="s">
        <v>6</v>
      </c>
    </row>
    <row r="62" spans="2:6" x14ac:dyDescent="0.2">
      <c r="B62" s="6">
        <v>60</v>
      </c>
      <c r="C62" s="6" t="s">
        <v>119</v>
      </c>
      <c r="D62" s="6" t="s">
        <v>58</v>
      </c>
      <c r="E62" s="6" t="s">
        <v>62</v>
      </c>
      <c r="F62" s="1" t="s">
        <v>6</v>
      </c>
    </row>
    <row r="63" spans="2:6" x14ac:dyDescent="0.2">
      <c r="B63" s="6">
        <v>61</v>
      </c>
      <c r="C63" s="6" t="s">
        <v>120</v>
      </c>
      <c r="D63" s="6" t="s">
        <v>63</v>
      </c>
      <c r="E63" s="6" t="s">
        <v>63</v>
      </c>
      <c r="F63" s="1" t="s">
        <v>6</v>
      </c>
    </row>
    <row r="64" spans="2:6" x14ac:dyDescent="0.2">
      <c r="B64" s="6">
        <v>62</v>
      </c>
      <c r="C64" s="1" t="s">
        <v>33</v>
      </c>
      <c r="D64" s="1" t="s">
        <v>33</v>
      </c>
      <c r="E64" s="1" t="s">
        <v>33</v>
      </c>
      <c r="F64" s="1" t="s">
        <v>293</v>
      </c>
    </row>
    <row r="65" spans="2:6" x14ac:dyDescent="0.2">
      <c r="B65" s="1"/>
      <c r="C65" s="1" t="s">
        <v>148</v>
      </c>
      <c r="D65" s="1" t="s">
        <v>148</v>
      </c>
      <c r="E65" s="1" t="s">
        <v>148</v>
      </c>
      <c r="F65" s="1" t="s">
        <v>148</v>
      </c>
    </row>
  </sheetData>
  <sheetProtection password="F450" sheet="1" objects="1" scenarios="1"/>
  <phoneticPr fontId="34"/>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2.様式第1号、第11号-2(地域密着型)</vt:lpstr>
      <vt:lpstr>リスト</vt:lpstr>
      <vt:lpstr>リスト2</vt:lpstr>
      <vt:lpstr>'1.基本データ(このシートは削除しないこと！)'!Print_Area</vt:lpstr>
      <vt:lpstr>'2.様式第1号、第11号-2(地域密着型)'!Print_Area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2024-04-24T04:58:48Z</cp:lastPrinted>
  <dcterms:created xsi:type="dcterms:W3CDTF">2018-06-11T09:00:18Z</dcterms:created>
  <dcterms:modified xsi:type="dcterms:W3CDTF">2024-04-24T04:59:05Z</dcterms:modified>
</cp:coreProperties>
</file>