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8.80.40\public\総務企画部共有\総務企画課共有\C財務\4支出\4支出負担行為調書\150_工事請負費\R6\01 保健衛生合同庁舎電灯設備ＬＥＤ改修工事\05_公告\"/>
    </mc:Choice>
  </mc:AlternateContent>
  <workbookProtection workbookPassword="B050" lockStructure="1"/>
  <bookViews>
    <workbookView xWindow="0" yWindow="0" windowWidth="17256" windowHeight="4380" tabRatio="763" activeTab="1"/>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62913"/>
</workbook>
</file>

<file path=xl/calcChain.xml><?xml version="1.0" encoding="utf-8"?>
<calcChain xmlns="http://schemas.openxmlformats.org/spreadsheetml/2006/main">
  <c r="AF95" i="2" l="1"/>
  <c r="AF94" i="2"/>
  <c r="Y95" i="2"/>
  <c r="Z95" i="2"/>
  <c r="AA95" i="2"/>
  <c r="AB95" i="2"/>
  <c r="AC95" i="2"/>
  <c r="AD95" i="2"/>
  <c r="AE95" i="2"/>
  <c r="X95" i="2"/>
  <c r="Y94" i="2"/>
  <c r="Z94" i="2"/>
  <c r="AA94" i="2"/>
  <c r="AB94" i="2"/>
  <c r="AC94" i="2"/>
  <c r="AD94" i="2"/>
  <c r="AE94" i="2"/>
  <c r="X94" i="2"/>
  <c r="AF97" i="2"/>
  <c r="Y97" i="2"/>
  <c r="Z97" i="2"/>
  <c r="AA97" i="2"/>
  <c r="AB97" i="2"/>
  <c r="AC97" i="2"/>
  <c r="AD97" i="2"/>
  <c r="AE97" i="2"/>
  <c r="X97" i="2"/>
  <c r="AC99" i="2"/>
  <c r="AF99" i="2"/>
  <c r="Y99" i="2"/>
  <c r="Z99" i="2"/>
  <c r="AA99" i="2"/>
  <c r="AB99" i="2"/>
  <c r="AD99" i="2"/>
  <c r="AE99" i="2"/>
  <c r="X99" i="2"/>
  <c r="X100" i="2" l="1"/>
  <c r="X101" i="2" s="1"/>
  <c r="V100" i="2"/>
  <c r="H16" i="5"/>
  <c r="X80" i="2" l="1"/>
  <c r="AE61" i="2"/>
  <c r="AF61" i="2" s="1"/>
  <c r="AG100" i="2"/>
  <c r="AE59" i="2"/>
  <c r="AF59" i="2" s="1"/>
  <c r="AH100" i="2"/>
  <c r="AI100" i="2"/>
  <c r="E77" i="2" l="1"/>
  <c r="E76" i="2"/>
  <c r="E50" i="2"/>
  <c r="AS102" i="2" l="1"/>
  <c r="V101" i="2"/>
  <c r="X102" i="2" l="1"/>
  <c r="C20" i="2" l="1"/>
  <c r="L17" i="2"/>
  <c r="L16" i="2"/>
  <c r="L14" i="2"/>
  <c r="L13" i="2"/>
  <c r="L11" i="2"/>
  <c r="K11" i="2"/>
  <c r="L10" i="2"/>
  <c r="S1" i="2"/>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W56" i="2" l="1"/>
  <c r="AT102" i="2" l="1"/>
  <c r="X78" i="2"/>
  <c r="X84" i="2" l="1"/>
  <c r="E81" i="2"/>
  <c r="AB79" i="2" l="1"/>
  <c r="AQ81" i="2" s="1"/>
  <c r="F79" i="2" s="1"/>
  <c r="AA83" i="2"/>
  <c r="Z83" i="2" l="1"/>
  <c r="X92" i="2" l="1"/>
  <c r="W85" i="2"/>
  <c r="H17" i="5"/>
  <c r="AE83" i="2"/>
  <c r="AB86" i="2"/>
  <c r="AB85" i="2"/>
  <c r="AB84" i="2"/>
  <c r="AB83" i="2"/>
  <c r="AC83" i="2" s="1"/>
  <c r="AA86" i="2"/>
  <c r="AA85" i="2"/>
  <c r="AA84" i="2"/>
  <c r="AO102" i="2" l="1"/>
  <c r="AO100" i="2"/>
  <c r="AO101" i="2"/>
  <c r="D20" i="5"/>
  <c r="W83" i="2"/>
  <c r="W82" i="2"/>
  <c r="AI55" i="2"/>
  <c r="AK55" i="2" s="1"/>
  <c r="AI56" i="2"/>
  <c r="H10" i="5" l="1"/>
  <c r="H7" i="5"/>
  <c r="H8" i="5"/>
  <c r="H9" i="5"/>
  <c r="H14" i="5"/>
  <c r="H6" i="5"/>
  <c r="H11" i="5"/>
  <c r="H5" i="5"/>
  <c r="Y92" i="2" l="1"/>
  <c r="AF100" i="2" l="1"/>
  <c r="AP100" i="2" s="1"/>
  <c r="AF98" i="2"/>
  <c r="AF96" i="2"/>
  <c r="AF93" i="2"/>
  <c r="AF92" i="2"/>
  <c r="AF91" i="2"/>
  <c r="AF101" i="2" l="1"/>
  <c r="AP101" i="2" s="1"/>
  <c r="AF102" i="2"/>
  <c r="AP102" i="2" s="1"/>
  <c r="V52" i="2"/>
  <c r="AC56" i="2" l="1"/>
  <c r="AC54" i="2"/>
  <c r="AC53" i="2"/>
  <c r="AC52" i="2"/>
  <c r="V91" i="2" l="1"/>
  <c r="AQ91" i="2" s="1"/>
  <c r="X91" i="2"/>
  <c r="Y91" i="2"/>
  <c r="Z91" i="2"/>
  <c r="AB91" i="2"/>
  <c r="AE91" i="2" s="1"/>
  <c r="V92" i="2"/>
  <c r="Z92" i="2"/>
  <c r="AB92" i="2"/>
  <c r="AE92" i="2" s="1"/>
  <c r="Z93" i="2"/>
  <c r="AB93" i="2"/>
  <c r="AE93" i="2" s="1"/>
  <c r="V94" i="2"/>
  <c r="V95" i="2"/>
  <c r="V96" i="2"/>
  <c r="X96" i="2"/>
  <c r="Y96" i="2"/>
  <c r="Z96" i="2"/>
  <c r="AB96" i="2"/>
  <c r="AE96" i="2" s="1"/>
  <c r="V97" i="2"/>
  <c r="V98" i="2"/>
  <c r="X98" i="2"/>
  <c r="Y98" i="2"/>
  <c r="Z98" i="2"/>
  <c r="AB98" i="2"/>
  <c r="AE98" i="2" s="1"/>
  <c r="V99" i="2"/>
  <c r="Y100" i="2"/>
  <c r="Z100" i="2"/>
  <c r="AB100" i="2"/>
  <c r="V102" i="2"/>
  <c r="AF83" i="2"/>
  <c r="AG83" i="2" s="1"/>
  <c r="AF84" i="2"/>
  <c r="X85" i="2"/>
  <c r="AF85" i="2"/>
  <c r="W86" i="2"/>
  <c r="X86" i="2"/>
  <c r="AF86" i="2"/>
  <c r="Y102" i="2" l="1"/>
  <c r="Y101" i="2"/>
  <c r="AE100" i="2"/>
  <c r="AE101" i="2" s="1"/>
  <c r="AB101" i="2"/>
  <c r="Z102" i="2"/>
  <c r="Z101" i="2"/>
  <c r="W93" i="2"/>
  <c r="AB102" i="2"/>
  <c r="AE102" i="2" l="1"/>
  <c r="W96" i="2"/>
  <c r="W98" i="2" s="1"/>
  <c r="W100" i="2" s="1"/>
  <c r="V56" i="2" l="1"/>
  <c r="V53" i="2" l="1"/>
  <c r="V66" i="2" l="1"/>
  <c r="V67" i="2"/>
  <c r="V69" i="2"/>
  <c r="V68" i="2"/>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8" i="2"/>
  <c r="AE84" i="2"/>
  <c r="AG84" i="2" s="1"/>
  <c r="Z84" i="2"/>
  <c r="AC84" i="2" s="1"/>
  <c r="AC98" i="2"/>
  <c r="AC92" i="2"/>
  <c r="AD92" i="2" s="1"/>
  <c r="AC100" i="2"/>
  <c r="AC93" i="2"/>
  <c r="AC96" i="2"/>
  <c r="AE85" i="2"/>
  <c r="AG85" i="2" s="1"/>
  <c r="Z85" i="2"/>
  <c r="AC85" i="2" s="1"/>
  <c r="AE86" i="2"/>
  <c r="AG86" i="2" s="1"/>
  <c r="Z86" i="2"/>
  <c r="AC86" i="2" s="1"/>
  <c r="Y80" i="2"/>
  <c r="AA102" i="2" l="1"/>
  <c r="AA101" i="2"/>
  <c r="AC102" i="2"/>
  <c r="AC101" i="2"/>
  <c r="AQ82" i="2"/>
  <c r="F80" i="2" s="1"/>
  <c r="AM95" i="2"/>
  <c r="AL94" i="2"/>
  <c r="AG82" i="2"/>
  <c r="AC82" i="2"/>
  <c r="W84" i="2" s="1"/>
  <c r="AL92" i="2"/>
  <c r="AK92" i="2"/>
  <c r="AM92" i="2"/>
  <c r="AD93" i="2"/>
  <c r="AK93" i="2" s="1"/>
  <c r="AD91" i="2"/>
  <c r="AP97" i="2"/>
  <c r="AP91" i="2"/>
  <c r="AP94" i="2"/>
  <c r="AP99" i="2"/>
  <c r="AP96" i="2"/>
  <c r="AP93" i="2"/>
  <c r="AP92" i="2"/>
  <c r="AP98" i="2"/>
  <c r="AP95" i="2"/>
  <c r="AD96" i="2"/>
  <c r="AD98" i="2"/>
  <c r="AD100" i="2"/>
  <c r="AD101" i="2" l="1"/>
  <c r="AK101" i="2" s="1"/>
  <c r="AK100" i="2"/>
  <c r="AL100" i="2"/>
  <c r="AM100" i="2"/>
  <c r="AK99" i="2"/>
  <c r="AL95"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N100" i="2" l="1"/>
  <c r="AL102" i="2"/>
  <c r="AK102" i="2"/>
  <c r="AN102" i="2" s="1"/>
  <c r="AM102" i="2"/>
  <c r="AL101" i="2"/>
  <c r="AM101" i="2"/>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W67" i="2"/>
  <c r="Y67" i="2" s="1"/>
  <c r="AQ100" i="2" l="1"/>
  <c r="F93" i="2"/>
  <c r="AE67" i="2"/>
  <c r="AP67" i="2"/>
  <c r="F67" i="2" s="1"/>
  <c r="AT87" i="2"/>
  <c r="AT88" i="2" s="1"/>
  <c r="Y63" i="2"/>
  <c r="Y52" i="2"/>
  <c r="AR100" i="2" l="1"/>
  <c r="AS101" i="2" s="1"/>
  <c r="F100" i="2"/>
  <c r="B89" i="2"/>
  <c r="AP52" i="2"/>
  <c r="F52" i="2" s="1"/>
  <c r="AE63" i="2"/>
  <c r="AP63" i="2" s="1"/>
  <c r="F63" i="2" s="1"/>
  <c r="H15" i="5" l="1"/>
  <c r="E49" i="2" s="1"/>
  <c r="H13" i="5"/>
  <c r="F96" i="2" l="1"/>
  <c r="F98" i="2" l="1"/>
  <c r="V47" i="2" s="1"/>
  <c r="K87" i="2"/>
  <c r="D23" i="5" l="1"/>
</calcChain>
</file>

<file path=xl/sharedStrings.xml><?xml version="1.0" encoding="utf-8"?>
<sst xmlns="http://schemas.openxmlformats.org/spreadsheetml/2006/main" count="713" uniqueCount="403">
  <si>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</si>
  <si>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</si>
  <si>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</si>
  <si>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</si>
  <si>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</si>
  <si>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</si>
  <si>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</si>
  <si>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</si>
  <si>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</si>
  <si>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</si>
  <si>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</si>
  <si>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</si>
  <si>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</si>
  <si>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</si>
  <si>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</si>
  <si>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</si>
  <si>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</si>
  <si>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</si>
  <si>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</si>
  <si>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</si>
  <si>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</si>
  <si>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</si>
  <si>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</si>
  <si>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</si>
  <si>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</si>
  <si>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</si>
  <si>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</si>
  <si>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</si>
  <si>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</si>
  <si>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</si>
  <si>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</si>
  <si>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</si>
  <si>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</si>
  <si>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</si>
  <si>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</si>
  <si>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</si>
  <si>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</si>
  <si>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</si>
  <si>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</si>
  <si>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</si>
  <si>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</si>
  <si>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</si>
  <si>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</si>
  <si>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</si>
  <si>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</si>
  <si>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</si>
  <si>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</si>
  <si>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</si>
  <si>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</si>
  <si>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</si>
  <si>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</si>
  <si>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</si>
  <si>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</si>
  <si>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</si>
  <si>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</si>
  <si>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</si>
  <si>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</si>
  <si>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</si>
  <si>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</si>
  <si>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</si>
  <si>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</si>
  <si>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</si>
  <si>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</si>
  <si>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</si>
  <si>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</si>
  <si>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</si>
  <si>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</si>
  <si>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</si>
  <si>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</si>
  <si>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</si>
  <si>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</si>
  <si>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</si>
  <si>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</si>
  <si>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</si>
  <si>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</si>
  <si>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</si>
  <si>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</si>
  <si>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</si>
  <si>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</si>
  <si>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</si>
  <si>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</si>
  <si>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</si>
  <si>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</si>
  <si>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</si>
  <si>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</si>
  <si>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</si>
  <si>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</si>
  <si>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</si>
  <si>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</si>
  <si>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</si>
  <si>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</si>
  <si>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</si>
  <si>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</si>
  <si>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</si>
  <si>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</si>
  <si>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</si>
  <si>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</si>
  <si>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</si>
  <si>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</si>
  <si>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</si>
  <si>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</si>
  <si>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</si>
  <si>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</si>
  <si>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</si>
  <si>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</si>
  <si>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</si>
  <si>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</si>
  <si>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</si>
  <si>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</si>
  <si>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</si>
  <si>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</si>
  <si>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</si>
  <si>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</si>
  <si>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</si>
  <si>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</si>
  <si>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</si>
  <si>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</si>
  <si>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</si>
  <si>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</si>
  <si>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</si>
  <si>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</si>
  <si>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</si>
  <si>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</si>
  <si>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</si>
  <si>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</si>
  <si>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</si>
  <si>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</si>
  <si>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</si>
  <si>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</si>
  <si>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</si>
  <si>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</si>
  <si>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</si>
  <si>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</si>
  <si>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</si>
  <si>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</si>
  <si>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80点以上</t>
    <rPh sb="2" eb="3">
      <t>テン</t>
    </rPh>
    <rPh sb="3" eb="5">
      <t>イジョウ</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</si>
  <si>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</si>
  <si>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</si>
  <si>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</si>
  <si>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</si>
  <si>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</si>
  <si>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</si>
  <si>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</si>
  <si>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</si>
  <si>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</si>
  <si>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</si>
  <si>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</si>
  <si>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</si>
  <si>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</si>
  <si>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</si>
  <si>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</si>
  <si>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</si>
  <si>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</si>
  <si>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</si>
  <si>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</si>
  <si>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</si>
  <si>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</si>
  <si>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</si>
  <si>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</si>
  <si>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</si>
  <si>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</si>
  <si>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</si>
  <si>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</si>
  <si>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</si>
  <si>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</si>
  <si>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</si>
  <si>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</si>
  <si>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</si>
  <si>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</si>
  <si>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</si>
  <si>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</si>
  <si>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</si>
  <si>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</si>
  <si>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</si>
  <si>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</si>
  <si>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</si>
  <si>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</si>
  <si>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</si>
  <si>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</si>
  <si>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</si>
  <si>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</si>
  <si>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</si>
  <si>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</si>
  <si>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</si>
  <si>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</si>
  <si>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</si>
  <si>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</si>
  <si>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</si>
  <si>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</si>
  <si>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</si>
  <si>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</si>
  <si>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</si>
  <si>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</si>
  <si>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</si>
  <si>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</si>
  <si>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</si>
  <si>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</si>
  <si>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</si>
  <si>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</si>
  <si>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</si>
  <si>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</si>
  <si>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</si>
  <si>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</si>
  <si>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</si>
  <si>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</si>
  <si>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</si>
  <si>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</si>
  <si>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</si>
  <si>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</si>
  <si>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</si>
  <si>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</si>
  <si>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</si>
  <si>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</si>
  <si>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</si>
  <si>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</si>
  <si>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</si>
  <si>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</si>
  <si>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</si>
  <si>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</si>
  <si>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</si>
  <si>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</si>
  <si>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</si>
  <si>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</si>
  <si>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</si>
  <si>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</si>
  <si>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</si>
  <si>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</si>
  <si>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</si>
  <si>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</si>
  <si>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</si>
  <si>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</si>
  <si>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</si>
  <si>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</si>
  <si>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</si>
  <si>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</si>
  <si>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</si>
  <si>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</si>
  <si>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</si>
  <si>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</si>
  <si>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</si>
  <si>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</si>
  <si>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</si>
  <si>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xml:space="preserve">第○○-○○○○○-○○○○号 </t>
    <rPh sb="0" eb="1">
      <t>ダイ</t>
    </rPh>
    <rPh sb="14" eb="15">
      <t>ゴウ</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</si>
  <si>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</si>
  <si>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</si>
  <si>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</si>
  <si>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</si>
  <si>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</si>
  <si>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</si>
  <si>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</si>
  <si>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</si>
  <si>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</si>
  <si>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</si>
  <si>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</si>
  <si>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</si>
  <si>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</si>
  <si>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</si>
  <si>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</si>
  <si>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</si>
  <si>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</si>
  <si>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</si>
  <si>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</si>
  <si>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</si>
  <si>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</si>
  <si>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</si>
  <si>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</si>
  <si>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</si>
  <si>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</si>
  <si>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</si>
  <si>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</si>
  <si>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</si>
  <si>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</si>
  <si>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</si>
  <si>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</si>
  <si>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</si>
  <si>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</si>
  <si>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</si>
  <si>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</si>
  <si>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</si>
  <si>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</si>
  <si>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</si>
  <si>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</si>
  <si>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</si>
  <si>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</si>
  <si>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</si>
  <si>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</si>
  <si>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</si>
  <si>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</si>
  <si>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</si>
  <si>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</si>
  <si>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</si>
  <si>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</si>
  <si>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</si>
  <si>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</si>
  <si>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</si>
  <si>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</si>
  <si>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</si>
  <si>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</si>
  <si>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</si>
  <si>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</si>
  <si>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</si>
  <si>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</si>
  <si>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</si>
  <si>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</si>
  <si>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</si>
  <si>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</si>
  <si>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</si>
  <si>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</si>
  <si>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</si>
  <si>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</si>
  <si>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</si>
  <si>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</si>
  <si>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</si>
  <si>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</si>
  <si>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</si>
  <si>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</si>
  <si>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○○○○○○○○○○○○工事</t>
    <rPh sb="12" eb="14">
      <t>コウジ</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</si>
  <si>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</si>
  <si>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</si>
  <si>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</si>
  <si>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</si>
  <si>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</si>
  <si>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</si>
  <si>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</si>
  <si>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</si>
  <si>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</si>
  <si>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t>4：OK</t>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</si>
  <si>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</si>
  <si>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</si>
  <si>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</si>
  <si>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</si>
  <si>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</si>
  <si>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</si>
  <si>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</si>
  <si>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</si>
  <si>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</si>
  <si>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</si>
  <si>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</si>
  <si>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</si>
  <si>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</si>
  <si>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</si>
  <si>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</si>
  <si>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</si>
  <si>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</si>
  <si>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</si>
  <si>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</si>
  <si>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</si>
  <si>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</si>
  <si>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</si>
  <si>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</si>
  <si>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</si>
  <si>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</si>
  <si>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</si>
  <si>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</si>
  <si>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</si>
  <si>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</si>
  <si>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</si>
  <si>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</si>
  <si>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</si>
  <si>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</si>
  <si>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</si>
  <si>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</si>
  <si>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</si>
  <si>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</si>
  <si>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</si>
  <si>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</si>
  <si>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</si>
  <si>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</si>
  <si>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</si>
  <si>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</si>
  <si>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</si>
  <si>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</si>
  <si>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</si>
  <si>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</si>
  <si>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</si>
  <si>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</si>
  <si>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</si>
  <si>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</si>
  <si>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</si>
  <si>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</si>
  <si>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</si>
  <si>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</si>
  <si>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</si>
  <si>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</si>
  <si>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</si>
  <si>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</si>
  <si>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</si>
  <si>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</si>
  <si>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</si>
  <si>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</si>
  <si>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</si>
  <si>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</si>
  <si>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</si>
  <si>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</si>
  <si>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</si>
  <si>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</si>
  <si>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</si>
  <si>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</si>
  <si>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</si>
  <si>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</si>
  <si>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</si>
  <si>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</si>
  <si>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t>令和６年度様式（令和６年４月１日以降の入札公告から適用）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</si>
</sst>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7"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2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0" fillId="0" borderId="10" xfId="0" applyFill="1" applyBorder="1" applyAlignment="1"/>
    <xf numFmtId="0" fontId="29" fillId="0" borderId="10" xfId="0" applyFont="1" applyFill="1" applyBorder="1" applyAlignment="1" applyProtection="1">
      <alignment vertical="center" wrapText="1"/>
    </xf>
    <xf numFmtId="0" fontId="49" fillId="0" borderId="10" xfId="0" applyFont="1" applyFill="1" applyBorder="1" applyAlignment="1" applyProtection="1">
      <alignment horizontal="center" vertical="center" wrapText="1"/>
    </xf>
    <xf numFmtId="0" fontId="29" fillId="0" borderId="18" xfId="0" applyFont="1" applyFill="1" applyBorder="1" applyAlignment="1" applyProtection="1">
      <alignment vertical="center" wrapText="1"/>
    </xf>
    <xf numFmtId="0" fontId="49" fillId="0" borderId="18" xfId="0" applyFont="1" applyFill="1" applyBorder="1" applyAlignment="1" applyProtection="1">
      <alignment horizontal="center" vertical="center" wrapText="1"/>
    </xf>
    <xf numFmtId="0" fontId="19" fillId="0" borderId="0" xfId="0" applyFont="1" applyAlignment="1" applyProtection="1">
      <alignment vertical="center"/>
    </xf>
    <xf numFmtId="0" fontId="0" fillId="0" borderId="10" xfId="0" applyFont="1" applyFill="1" applyBorder="1" applyAlignment="1" applyProtection="1">
      <alignment vertical="center"/>
    </xf>
    <xf numFmtId="0" fontId="0" fillId="0" borderId="0" xfId="0" applyFont="1" applyFill="1" applyBorder="1" applyAlignment="1" applyProtection="1">
      <alignment vertical="center"/>
    </xf>
    <xf numFmtId="182" fontId="19" fillId="0" borderId="10" xfId="0" applyNumberFormat="1" applyFont="1" applyBorder="1" applyAlignment="1" applyProtection="1">
      <alignment horizontal="left" vertical="center"/>
    </xf>
    <xf numFmtId="0" fontId="19" fillId="0" borderId="10" xfId="0" applyFont="1" applyBorder="1" applyAlignment="1" applyProtection="1">
      <alignment horizontal="center" vertical="center"/>
    </xf>
    <xf numFmtId="0" fontId="29" fillId="0" borderId="69" xfId="0" applyFont="1" applyFill="1" applyBorder="1" applyAlignment="1" applyProtection="1">
      <alignment horizontal="center" vertical="center" wrapText="1"/>
    </xf>
    <xf numFmtId="0" fontId="23" fillId="0" borderId="30"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6" fillId="0" borderId="54" xfId="0" quotePrefix="1" applyFont="1" applyBorder="1" applyAlignment="1" applyProtection="1">
      <alignment horizontal="center" vertical="center" wrapText="1"/>
    </xf>
    <xf numFmtId="0" fontId="19" fillId="0" borderId="28" xfId="0" applyFont="1" applyBorder="1" applyProtection="1">
      <alignment vertical="center"/>
    </xf>
    <xf numFmtId="0" fontId="19" fillId="0" borderId="0" xfId="0" applyFont="1" applyAlignment="1" applyProtection="1">
      <alignment horizontal="center" vertical="center"/>
    </xf>
    <xf numFmtId="176" fontId="19" fillId="0" borderId="10" xfId="0" applyNumberFormat="1" applyFont="1" applyBorder="1" applyProtection="1">
      <alignment vertical="center"/>
    </xf>
    <xf numFmtId="176" fontId="42" fillId="0" borderId="10" xfId="0" applyNumberFormat="1" applyFont="1" applyFill="1" applyBorder="1" applyAlignment="1" applyProtection="1">
      <alignment horizontal="right" vertical="center" wrapText="1"/>
    </xf>
    <xf numFmtId="0" fontId="28" fillId="0" borderId="31" xfId="0" applyFont="1" applyFill="1" applyBorder="1" applyAlignment="1" applyProtection="1">
      <alignment vertical="center" wrapText="1"/>
    </xf>
    <xf numFmtId="0" fontId="28" fillId="0" borderId="21" xfId="0" applyFont="1" applyFill="1" applyBorder="1" applyAlignment="1" applyProtection="1">
      <alignment horizontal="left" vertical="center" wrapText="1"/>
    </xf>
    <xf numFmtId="0" fontId="19" fillId="0" borderId="0" xfId="0" applyFont="1" applyProtection="1">
      <alignment vertical="center"/>
    </xf>
    <xf numFmtId="0" fontId="34" fillId="0" borderId="0" xfId="0" applyFont="1" applyBorder="1" applyAlignment="1" applyProtection="1">
      <alignment horizontal="left" vertical="center"/>
    </xf>
    <xf numFmtId="0" fontId="19" fillId="0" borderId="0" xfId="0" applyFont="1" applyFill="1" applyAlignment="1" applyProtection="1">
      <alignment vertical="center"/>
    </xf>
    <xf numFmtId="0" fontId="19" fillId="0" borderId="18" xfId="0" applyFont="1" applyFill="1" applyBorder="1" applyAlignment="1" applyProtection="1">
      <alignment horizontal="left" vertical="center"/>
    </xf>
    <xf numFmtId="0" fontId="0" fillId="0" borderId="25" xfId="0" applyFont="1" applyFill="1" applyBorder="1" applyAlignment="1" applyProtection="1">
      <alignment vertical="center"/>
    </xf>
    <xf numFmtId="0" fontId="19" fillId="0" borderId="10" xfId="0" applyFont="1" applyFill="1" applyBorder="1" applyAlignment="1" applyProtection="1">
      <alignment horizontal="left" vertical="center"/>
    </xf>
    <xf numFmtId="0" fontId="19" fillId="0" borderId="19" xfId="0" applyFont="1" applyBorder="1" applyAlignment="1" applyProtection="1">
      <alignment horizontal="left" vertical="center"/>
    </xf>
    <xf numFmtId="179" fontId="19" fillId="0" borderId="10" xfId="0" applyNumberFormat="1" applyFont="1" applyFill="1" applyBorder="1" applyAlignment="1" applyProtection="1">
      <alignment horizontal="center" vertical="center"/>
    </xf>
    <xf numFmtId="0" fontId="0" fillId="0" borderId="10" xfId="0" applyBorder="1" applyAlignment="1" applyProtection="1">
      <alignment vertical="center"/>
    </xf>
    <xf numFmtId="0" fontId="19" fillId="0" borderId="10" xfId="0" applyFont="1" applyBorder="1" applyAlignment="1" applyProtection="1">
      <alignment vertical="center"/>
    </xf>
    <xf numFmtId="177" fontId="19" fillId="0" borderId="10" xfId="0" applyNumberFormat="1" applyFont="1" applyBorder="1" applyAlignment="1" applyProtection="1">
      <alignment vertical="center"/>
    </xf>
    <xf numFmtId="0" fontId="26" fillId="0" borderId="30"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176" fontId="26" fillId="0" borderId="10" xfId="0" applyNumberFormat="1" applyFont="1" applyFill="1" applyBorder="1" applyAlignment="1" applyProtection="1">
      <alignment horizontal="center" vertical="center" wrapText="1"/>
    </xf>
    <xf numFmtId="0" fontId="0" fillId="0" borderId="0" xfId="0" applyFont="1" applyBorder="1" applyProtection="1">
      <alignment vertical="center"/>
    </xf>
    <xf numFmtId="0" fontId="27" fillId="0" borderId="0" xfId="0" applyFont="1" applyBorder="1" applyAlignment="1" applyProtection="1">
      <alignment horizontal="right" vertical="top"/>
    </xf>
    <xf numFmtId="0" fontId="32" fillId="0" borderId="0" xfId="0" applyFont="1" applyBorder="1" applyAlignment="1" applyProtection="1">
      <alignment horizontal="left" vertical="top" wrapText="1"/>
    </xf>
    <xf numFmtId="178" fontId="30" fillId="0" borderId="27" xfId="0" applyNumberFormat="1" applyFont="1" applyBorder="1" applyAlignment="1" applyProtection="1">
      <alignment vertical="center"/>
    </xf>
    <xf numFmtId="0" fontId="0" fillId="0" borderId="0" xfId="0" applyFont="1" applyProtection="1">
      <alignment vertical="center"/>
    </xf>
    <xf numFmtId="0" fontId="20" fillId="0" borderId="0" xfId="0" applyFont="1" applyBorder="1" applyAlignment="1" applyProtection="1">
      <alignment vertical="center" wrapText="1"/>
    </xf>
    <xf numFmtId="0" fontId="46" fillId="0" borderId="0" xfId="0" applyFont="1" applyBorder="1" applyAlignment="1" applyProtection="1">
      <alignment horizontal="right" vertical="center"/>
    </xf>
    <xf numFmtId="0" fontId="21" fillId="0" borderId="0" xfId="0" applyFont="1" applyAlignment="1" applyProtection="1">
      <alignment horizontal="justify" vertical="center"/>
    </xf>
    <xf numFmtId="0" fontId="21" fillId="0" borderId="23" xfId="0" applyFont="1" applyBorder="1" applyAlignment="1" applyProtection="1">
      <alignment horizontal="right" vertical="center" wrapText="1"/>
    </xf>
    <xf numFmtId="0" fontId="28" fillId="0" borderId="23" xfId="0" applyFont="1" applyBorder="1" applyAlignment="1" applyProtection="1">
      <alignment vertical="center"/>
    </xf>
    <xf numFmtId="0" fontId="40" fillId="0" borderId="10" xfId="0" applyFont="1" applyFill="1" applyBorder="1" applyAlignment="1" applyProtection="1">
      <alignment horizontal="center" vertical="center" wrapText="1"/>
    </xf>
    <xf numFmtId="0" fontId="39" fillId="33" borderId="10" xfId="0" applyFont="1" applyFill="1" applyBorder="1" applyAlignment="1" applyProtection="1">
      <alignment horizontal="center" vertical="center" shrinkToFit="1"/>
    </xf>
    <xf numFmtId="177" fontId="0" fillId="0" borderId="18" xfId="0" applyNumberFormat="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23" fillId="0" borderId="50" xfId="0" applyFont="1" applyFill="1" applyBorder="1" applyAlignment="1" applyProtection="1">
      <alignment horizontal="center" wrapText="1" shrinkToFit="1"/>
    </xf>
    <xf numFmtId="0" fontId="19" fillId="0" borderId="10" xfId="0" applyFont="1" applyBorder="1" applyProtection="1">
      <alignment vertical="center"/>
    </xf>
    <xf numFmtId="0" fontId="19" fillId="0" borderId="55" xfId="0" applyFont="1" applyBorder="1" applyProtection="1">
      <alignment vertical="center"/>
    </xf>
    <xf numFmtId="0" fontId="19" fillId="0" borderId="12" xfId="0" applyFont="1" applyBorder="1" applyProtection="1">
      <alignment vertical="center"/>
    </xf>
    <xf numFmtId="0" fontId="40" fillId="0" borderId="11" xfId="0" applyFont="1" applyFill="1" applyBorder="1" applyAlignment="1" applyProtection="1">
      <alignment horizontal="left" vertical="top" wrapText="1"/>
    </xf>
    <xf numFmtId="0" fontId="42" fillId="0" borderId="10" xfId="0" applyFont="1" applyFill="1" applyBorder="1" applyAlignment="1" applyProtection="1">
      <alignment horizontal="center" vertical="center" wrapText="1"/>
    </xf>
    <xf numFmtId="177" fontId="19" fillId="0" borderId="10" xfId="0" applyNumberFormat="1" applyFont="1" applyBorder="1" applyProtection="1">
      <alignment vertical="center"/>
    </xf>
    <xf numFmtId="177" fontId="42" fillId="0" borderId="10" xfId="0" applyNumberFormat="1" applyFont="1" applyFill="1" applyBorder="1" applyAlignment="1" applyProtection="1">
      <alignment horizontal="right" vertical="center" wrapText="1"/>
    </xf>
    <xf numFmtId="0" fontId="40" fillId="0" borderId="0" xfId="0" applyFont="1" applyFill="1" applyBorder="1" applyAlignment="1" applyProtection="1">
      <alignment horizontal="left" vertical="top" wrapText="1"/>
    </xf>
    <xf numFmtId="0" fontId="19" fillId="0" borderId="14" xfId="0" applyFont="1" applyBorder="1" applyProtection="1">
      <alignment vertical="center"/>
    </xf>
    <xf numFmtId="0" fontId="19" fillId="0" borderId="0" xfId="0" applyFont="1" applyBorder="1" applyProtection="1">
      <alignment vertical="center"/>
    </xf>
    <xf numFmtId="177" fontId="42" fillId="0" borderId="0" xfId="0" applyNumberFormat="1" applyFont="1" applyFill="1" applyBorder="1" applyAlignment="1" applyProtection="1">
      <alignment horizontal="right" vertical="center" wrapText="1"/>
    </xf>
    <xf numFmtId="0" fontId="19" fillId="0" borderId="17" xfId="0" applyFont="1" applyBorder="1" applyProtection="1">
      <alignment vertical="center"/>
    </xf>
    <xf numFmtId="0" fontId="26" fillId="0" borderId="71" xfId="0" applyFont="1" applyFill="1" applyBorder="1" applyAlignment="1" applyProtection="1">
      <alignment horizontal="center" vertical="center" wrapText="1"/>
    </xf>
    <xf numFmtId="0" fontId="0" fillId="0" borderId="10" xfId="0" applyBorder="1" applyAlignment="1" applyProtection="1">
      <alignment horizontal="left" vertical="center" shrinkToFit="1"/>
    </xf>
    <xf numFmtId="177" fontId="0" fillId="0" borderId="10" xfId="0" applyNumberFormat="1" applyBorder="1" applyAlignment="1" applyProtection="1">
      <alignment vertical="center"/>
    </xf>
    <xf numFmtId="0" fontId="0" fillId="0" borderId="0" xfId="0" applyBorder="1" applyAlignment="1" applyProtection="1">
      <alignment horizontal="left" vertical="center" shrinkToFit="1"/>
    </xf>
    <xf numFmtId="177" fontId="0" fillId="0" borderId="0" xfId="0" applyNumberFormat="1" applyBorder="1" applyAlignment="1" applyProtection="1">
      <alignment vertical="center"/>
    </xf>
    <xf numFmtId="0" fontId="42" fillId="0" borderId="0" xfId="0" applyFont="1" applyFill="1" applyBorder="1" applyAlignment="1" applyProtection="1">
      <alignment horizontal="center" vertical="center" wrapText="1"/>
    </xf>
    <xf numFmtId="177" fontId="19" fillId="0" borderId="0" xfId="0" applyNumberFormat="1" applyFont="1" applyBorder="1" applyProtection="1">
      <alignment vertical="center"/>
    </xf>
    <xf numFmtId="177" fontId="26" fillId="0" borderId="1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19" fillId="0" borderId="0" xfId="0" applyNumberFormat="1" applyFont="1" applyBorder="1" applyAlignment="1" applyProtection="1">
      <alignment horizontal="right" vertical="center"/>
    </xf>
    <xf numFmtId="0" fontId="19" fillId="0" borderId="20" xfId="0" applyFont="1" applyBorder="1" applyProtection="1">
      <alignment vertical="center"/>
    </xf>
    <xf numFmtId="0" fontId="25" fillId="0" borderId="0" xfId="0" applyFont="1" applyFill="1" applyBorder="1" applyAlignment="1" applyProtection="1">
      <alignment horizontal="left" vertical="top" wrapText="1"/>
    </xf>
    <xf numFmtId="0" fontId="19" fillId="0" borderId="25" xfId="0" applyFont="1" applyBorder="1" applyProtection="1">
      <alignment vertical="center"/>
    </xf>
    <xf numFmtId="0" fontId="23" fillId="0" borderId="71"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Border="1" applyAlignment="1" applyProtection="1">
      <alignment vertical="center"/>
    </xf>
    <xf numFmtId="0" fontId="41" fillId="0" borderId="0" xfId="0" applyFont="1" applyAlignment="1" applyProtection="1">
      <alignment vertical="center"/>
    </xf>
    <xf numFmtId="0" fontId="20" fillId="0" borderId="0" xfId="0" applyFont="1" applyAlignment="1" applyProtection="1">
      <alignment vertical="center" wrapText="1"/>
    </xf>
    <xf numFmtId="181" fontId="19" fillId="0" borderId="23" xfId="0" applyNumberFormat="1" applyFont="1" applyBorder="1" applyProtection="1">
      <alignment vertical="center"/>
    </xf>
    <xf numFmtId="181" fontId="43" fillId="0" borderId="23" xfId="0" applyNumberFormat="1" applyFont="1" applyFill="1" applyBorder="1" applyAlignment="1" applyProtection="1">
      <alignment horizontal="right" vertical="center" wrapText="1"/>
    </xf>
    <xf numFmtId="181" fontId="19" fillId="0" borderId="23" xfId="0" applyNumberFormat="1" applyFont="1" applyBorder="1" applyAlignment="1" applyProtection="1">
      <alignment vertical="center"/>
    </xf>
    <xf numFmtId="0" fontId="42" fillId="0" borderId="0" xfId="0" applyFont="1" applyFill="1" applyBorder="1" applyAlignment="1" applyProtection="1">
      <alignment vertical="center" wrapText="1"/>
    </xf>
    <xf numFmtId="181" fontId="19" fillId="0" borderId="77" xfId="0" applyNumberFormat="1" applyFont="1" applyBorder="1" applyProtection="1">
      <alignment vertical="center"/>
    </xf>
    <xf numFmtId="181" fontId="43" fillId="0" borderId="51" xfId="0" applyNumberFormat="1" applyFont="1" applyFill="1" applyBorder="1" applyAlignment="1" applyProtection="1">
      <alignment horizontal="right" vertical="center" wrapText="1"/>
    </xf>
    <xf numFmtId="181" fontId="19" fillId="0" borderId="19" xfId="0" applyNumberFormat="1" applyFont="1" applyBorder="1" applyAlignment="1" applyProtection="1">
      <alignment vertical="center"/>
    </xf>
    <xf numFmtId="0" fontId="48" fillId="0" borderId="0" xfId="0" applyFont="1" applyProtection="1">
      <alignment vertical="center"/>
    </xf>
    <xf numFmtId="181" fontId="19" fillId="0" borderId="52" xfId="0" applyNumberFormat="1" applyFont="1" applyBorder="1" applyProtection="1">
      <alignment vertical="center"/>
    </xf>
    <xf numFmtId="181" fontId="43" fillId="0" borderId="41" xfId="0" applyNumberFormat="1" applyFont="1" applyFill="1" applyBorder="1" applyAlignment="1" applyProtection="1">
      <alignment horizontal="right" vertical="center" wrapText="1"/>
    </xf>
    <xf numFmtId="181" fontId="0" fillId="0" borderId="41" xfId="0" applyNumberFormat="1" applyBorder="1" applyAlignment="1" applyProtection="1">
      <alignment horizontal="right" vertical="center"/>
    </xf>
    <xf numFmtId="176" fontId="19" fillId="0" borderId="0" xfId="0" applyNumberFormat="1" applyFont="1" applyBorder="1" applyProtection="1">
      <alignment vertical="center"/>
    </xf>
    <xf numFmtId="0" fontId="19" fillId="0" borderId="0" xfId="0" applyFont="1" applyAlignment="1" applyProtection="1">
      <alignment horizontal="left" vertical="center"/>
    </xf>
    <xf numFmtId="0" fontId="43" fillId="0" borderId="0" xfId="0" applyFont="1" applyAlignment="1" applyProtection="1">
      <alignment vertical="center"/>
    </xf>
    <xf numFmtId="0" fontId="0" fillId="0" borderId="12" xfId="0" applyBorder="1" applyAlignment="1" applyProtection="1">
      <alignment vertical="center"/>
    </xf>
    <xf numFmtId="0" fontId="0" fillId="0" borderId="25" xfId="0" applyBorder="1" applyAlignment="1" applyProtection="1">
      <alignment vertical="center"/>
    </xf>
    <xf numFmtId="0" fontId="40" fillId="0" borderId="0" xfId="0" applyFont="1" applyBorder="1" applyAlignment="1" applyProtection="1">
      <alignment vertical="top" wrapText="1"/>
    </xf>
    <xf numFmtId="0" fontId="28" fillId="0" borderId="10" xfId="0" applyFont="1" applyBorder="1" applyAlignment="1" applyProtection="1">
      <alignment horizontal="center" vertical="center" shrinkToFit="1"/>
    </xf>
    <xf numFmtId="0" fontId="28" fillId="0" borderId="26" xfId="0" applyFont="1" applyBorder="1" applyAlignment="1" applyProtection="1">
      <alignment horizontal="center" vertical="center" shrinkToFit="1"/>
    </xf>
    <xf numFmtId="0" fontId="19" fillId="0" borderId="32" xfId="0" applyFont="1" applyBorder="1" applyAlignment="1" applyProtection="1">
      <alignment horizontal="center" vertical="center" shrinkToFit="1"/>
    </xf>
    <xf numFmtId="0" fontId="27" fillId="0" borderId="32" xfId="0" applyFont="1" applyBorder="1" applyAlignment="1" applyProtection="1">
      <alignment vertical="center" shrinkToFit="1"/>
    </xf>
    <xf numFmtId="0" fontId="19" fillId="0" borderId="32" xfId="0" applyFont="1" applyBorder="1" applyProtection="1">
      <alignment vertical="center"/>
    </xf>
    <xf numFmtId="0" fontId="19" fillId="0" borderId="57" xfId="0" applyFont="1" applyBorder="1" applyProtection="1">
      <alignment vertical="center"/>
    </xf>
    <xf numFmtId="180" fontId="0" fillId="0" borderId="0" xfId="0" applyNumberFormat="1" applyBorder="1" applyAlignment="1" applyProtection="1">
      <alignment vertical="center"/>
    </xf>
    <xf numFmtId="0" fontId="40" fillId="0" borderId="0" xfId="0" applyFont="1" applyBorder="1" applyAlignment="1" applyProtection="1">
      <alignment vertical="center" wrapText="1"/>
    </xf>
    <xf numFmtId="0" fontId="19" fillId="0" borderId="26" xfId="0" applyFont="1" applyBorder="1" applyProtection="1">
      <alignment vertical="center"/>
    </xf>
    <xf numFmtId="180" fontId="42" fillId="0" borderId="25" xfId="0" applyNumberFormat="1" applyFont="1" applyBorder="1" applyAlignment="1" applyProtection="1">
      <alignment vertical="center" wrapText="1"/>
    </xf>
    <xf numFmtId="180" fontId="43" fillId="0" borderId="0" xfId="0" applyNumberFormat="1" applyFont="1" applyBorder="1" applyAlignment="1" applyProtection="1">
      <alignment horizontal="right" vertical="center" wrapText="1"/>
    </xf>
    <xf numFmtId="0" fontId="52" fillId="0" borderId="10" xfId="0" applyFont="1" applyBorder="1" applyAlignment="1" applyProtection="1">
      <alignment horizontal="center" vertical="center" wrapText="1"/>
    </xf>
    <xf numFmtId="180" fontId="42" fillId="0" borderId="0" xfId="0" applyNumberFormat="1" applyFont="1" applyBorder="1" applyAlignment="1" applyProtection="1">
      <alignment vertical="center" wrapText="1"/>
    </xf>
    <xf numFmtId="0" fontId="42" fillId="0" borderId="0" xfId="0" applyFont="1" applyBorder="1" applyAlignment="1" applyProtection="1">
      <alignment vertical="center" wrapText="1"/>
    </xf>
    <xf numFmtId="180" fontId="42" fillId="0" borderId="23" xfId="0" applyNumberFormat="1" applyFont="1" applyBorder="1" applyAlignment="1" applyProtection="1">
      <alignment vertical="center" wrapText="1"/>
    </xf>
    <xf numFmtId="180" fontId="43" fillId="0" borderId="23" xfId="0" applyNumberFormat="1" applyFont="1" applyBorder="1" applyAlignment="1" applyProtection="1">
      <alignment horizontal="right" vertical="center" wrapText="1"/>
    </xf>
    <xf numFmtId="0" fontId="57" fillId="0" borderId="18" xfId="0" applyFont="1" applyBorder="1" applyAlignment="1" applyProtection="1">
      <alignment horizontal="left" vertical="center" wrapText="1"/>
    </xf>
    <xf numFmtId="177" fontId="32" fillId="0" borderId="18" xfId="0" applyNumberFormat="1" applyFont="1" applyBorder="1" applyAlignment="1" applyProtection="1">
      <alignment horizontal="center" vertical="center"/>
    </xf>
    <xf numFmtId="0" fontId="44" fillId="0" borderId="10" xfId="0" applyFont="1" applyBorder="1" applyAlignment="1" applyProtection="1">
      <alignment vertical="center" wrapText="1"/>
    </xf>
    <xf numFmtId="0" fontId="44" fillId="0" borderId="33" xfId="0" applyFont="1" applyBorder="1" applyAlignment="1" applyProtection="1">
      <alignment vertical="center" wrapText="1"/>
    </xf>
    <xf numFmtId="0" fontId="44" fillId="0" borderId="34" xfId="0" applyFont="1" applyBorder="1" applyAlignment="1" applyProtection="1">
      <alignment vertical="center" wrapText="1"/>
    </xf>
    <xf numFmtId="0" fontId="44" fillId="0" borderId="11" xfId="0" applyFont="1" applyBorder="1" applyAlignment="1" applyProtection="1">
      <alignment vertical="center" wrapText="1"/>
    </xf>
    <xf numFmtId="0" fontId="44" fillId="0" borderId="10" xfId="0" applyFont="1" applyBorder="1" applyAlignment="1" applyProtection="1">
      <alignment horizontal="center" vertical="center" wrapText="1"/>
    </xf>
    <xf numFmtId="176" fontId="23" fillId="0" borderId="10" xfId="0" applyNumberFormat="1" applyFont="1" applyBorder="1" applyAlignment="1" applyProtection="1">
      <alignment horizontal="center" vertical="center" wrapText="1"/>
    </xf>
    <xf numFmtId="0" fontId="36" fillId="0" borderId="10" xfId="0" applyFont="1" applyBorder="1" applyAlignment="1" applyProtection="1">
      <alignment vertical="center" wrapText="1"/>
    </xf>
    <xf numFmtId="0" fontId="19" fillId="0" borderId="35" xfId="0" applyFont="1" applyBorder="1" applyAlignment="1" applyProtection="1">
      <alignment horizontal="center" vertical="center" shrinkToFit="1"/>
    </xf>
    <xf numFmtId="0" fontId="19" fillId="0" borderId="36" xfId="0" applyFont="1" applyBorder="1" applyAlignment="1" applyProtection="1">
      <alignment horizontal="right" vertical="center" shrinkToFit="1"/>
    </xf>
    <xf numFmtId="0" fontId="19" fillId="0" borderId="13" xfId="0" applyFont="1" applyBorder="1" applyAlignment="1" applyProtection="1">
      <alignment horizontal="right" vertical="center" shrinkToFit="1"/>
    </xf>
    <xf numFmtId="177" fontId="19" fillId="0" borderId="10" xfId="0" applyNumberFormat="1" applyFont="1" applyBorder="1" applyAlignment="1" applyProtection="1">
      <alignment horizontal="right" vertical="center" shrinkToFit="1"/>
    </xf>
    <xf numFmtId="180" fontId="36" fillId="0" borderId="10" xfId="0" applyNumberFormat="1" applyFont="1" applyBorder="1" applyAlignment="1" applyProtection="1">
      <alignment vertical="center" wrapText="1"/>
    </xf>
    <xf numFmtId="0" fontId="25" fillId="0" borderId="0" xfId="0" applyFont="1" applyBorder="1" applyAlignment="1" applyProtection="1">
      <alignment vertical="center" wrapText="1"/>
    </xf>
    <xf numFmtId="0" fontId="19" fillId="0" borderId="37" xfId="0" applyFont="1" applyBorder="1" applyProtection="1">
      <alignment vertical="center"/>
    </xf>
    <xf numFmtId="0" fontId="36" fillId="0" borderId="37" xfId="0" applyFont="1" applyBorder="1" applyAlignment="1" applyProtection="1">
      <alignment vertical="center" wrapText="1"/>
    </xf>
    <xf numFmtId="0" fontId="19" fillId="0" borderId="38" xfId="0" applyFont="1" applyBorder="1" applyAlignment="1" applyProtection="1">
      <alignment horizontal="center" vertical="center" shrinkToFit="1"/>
    </xf>
    <xf numFmtId="0" fontId="19" fillId="0" borderId="39" xfId="0" applyFont="1" applyBorder="1" applyAlignment="1" applyProtection="1">
      <alignment horizontal="right" vertical="center" shrinkToFit="1"/>
    </xf>
    <xf numFmtId="0" fontId="19" fillId="0" borderId="40" xfId="0" applyFont="1" applyBorder="1" applyAlignment="1" applyProtection="1">
      <alignment horizontal="right" vertical="center" shrinkToFit="1"/>
    </xf>
    <xf numFmtId="177" fontId="19" fillId="0" borderId="37" xfId="0" applyNumberFormat="1" applyFont="1" applyBorder="1" applyAlignment="1" applyProtection="1">
      <alignment horizontal="right" vertical="center" shrinkToFit="1"/>
    </xf>
    <xf numFmtId="180" fontId="36" fillId="0" borderId="37" xfId="0" applyNumberFormat="1" applyFont="1" applyBorder="1" applyAlignment="1" applyProtection="1">
      <alignment vertical="center" wrapText="1"/>
    </xf>
    <xf numFmtId="0" fontId="25" fillId="0" borderId="0" xfId="0" applyFont="1" applyBorder="1" applyAlignment="1" applyProtection="1">
      <alignment horizontal="center" vertical="center" wrapText="1"/>
    </xf>
    <xf numFmtId="0" fontId="19" fillId="0" borderId="37" xfId="0" applyFont="1" applyBorder="1" applyAlignment="1" applyProtection="1">
      <alignment horizontal="right" vertical="center"/>
    </xf>
    <xf numFmtId="0" fontId="19" fillId="0" borderId="37" xfId="0" applyFont="1" applyBorder="1" applyAlignment="1" applyProtection="1">
      <alignment horizontal="right" vertical="center" shrinkToFit="1"/>
    </xf>
    <xf numFmtId="177" fontId="19" fillId="0" borderId="18" xfId="0" applyNumberFormat="1" applyFont="1" applyBorder="1" applyAlignment="1" applyProtection="1">
      <alignment horizontal="right" vertical="center" shrinkToFit="1"/>
    </xf>
    <xf numFmtId="0" fontId="36" fillId="0" borderId="20" xfId="0" applyFont="1" applyBorder="1" applyAlignment="1" applyProtection="1">
      <alignment vertical="center" wrapText="1"/>
    </xf>
    <xf numFmtId="177" fontId="19" fillId="0" borderId="41" xfId="0" applyNumberFormat="1" applyFont="1" applyBorder="1" applyAlignment="1" applyProtection="1">
      <alignment horizontal="right" vertical="center" shrinkToFit="1"/>
    </xf>
    <xf numFmtId="180" fontId="36" fillId="0" borderId="20" xfId="0" applyNumberFormat="1" applyFont="1" applyBorder="1" applyAlignment="1" applyProtection="1">
      <alignment vertical="center" wrapText="1"/>
    </xf>
    <xf numFmtId="0" fontId="23" fillId="0" borderId="0" xfId="0" applyFont="1" applyFill="1" applyBorder="1" applyAlignment="1" applyProtection="1">
      <alignment vertical="center" wrapText="1"/>
    </xf>
    <xf numFmtId="0" fontId="19" fillId="0" borderId="10" xfId="0" applyFont="1" applyBorder="1" applyAlignment="1">
      <alignment horizontal="center" vertical="center" wrapText="1"/>
    </xf>
    <xf numFmtId="0" fontId="19" fillId="0" borderId="23" xfId="0" applyFont="1" applyBorder="1" applyAlignment="1" applyProtection="1">
      <alignment horizontal="center" vertical="center"/>
    </xf>
    <xf numFmtId="0" fontId="19" fillId="0" borderId="10" xfId="0" applyFont="1" applyBorder="1" applyAlignment="1" applyProtection="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pplyProtection="1">
      <alignment horizontal="center" vertical="center"/>
    </xf>
    <xf numFmtId="0" fontId="36" fillId="0" borderId="10" xfId="0" applyFont="1" applyBorder="1" applyAlignment="1" applyProtection="1">
      <alignment horizontal="left" vertical="center" wrapText="1"/>
    </xf>
    <xf numFmtId="0" fontId="19" fillId="0" borderId="0" xfId="0" applyFont="1" applyAlignment="1" applyProtection="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pplyAlignment="1" applyProtection="1">
      <alignment vertical="center"/>
    </xf>
    <xf numFmtId="0" fontId="19" fillId="37" borderId="0" xfId="0" applyFont="1" applyFill="1" applyProtection="1">
      <alignment vertical="center"/>
    </xf>
    <xf numFmtId="0" fontId="60" fillId="37" borderId="0" xfId="0" applyFont="1" applyFill="1" applyProtection="1">
      <alignment vertical="center"/>
    </xf>
    <xf numFmtId="0" fontId="34" fillId="0" borderId="0" xfId="0" applyFont="1" applyProtection="1">
      <alignment vertical="center"/>
    </xf>
    <xf numFmtId="0" fontId="61" fillId="0" borderId="0" xfId="0" applyFont="1" applyBorder="1" applyAlignment="1" applyProtection="1">
      <alignment horizontal="left" vertical="center"/>
    </xf>
    <xf numFmtId="0" fontId="50" fillId="0" borderId="18" xfId="0" applyFont="1" applyFill="1" applyBorder="1" applyAlignment="1" applyProtection="1">
      <alignment horizontal="left" vertical="center"/>
    </xf>
    <xf numFmtId="0" fontId="19" fillId="0" borderId="10" xfId="0" applyFont="1" applyBorder="1" applyAlignment="1" applyProtection="1">
      <alignment horizontal="center" vertical="center" wrapText="1"/>
    </xf>
    <xf numFmtId="0" fontId="22" fillId="38" borderId="46" xfId="0" applyFont="1" applyFill="1" applyBorder="1" applyAlignment="1" applyProtection="1">
      <alignment horizontal="center" vertical="center" wrapText="1"/>
    </xf>
    <xf numFmtId="177" fontId="42" fillId="38" borderId="45" xfId="0" applyNumberFormat="1" applyFont="1" applyFill="1" applyBorder="1" applyAlignment="1" applyProtection="1">
      <alignment horizontal="right" vertical="center" wrapText="1"/>
    </xf>
    <xf numFmtId="177" fontId="43" fillId="38" borderId="66" xfId="0" applyNumberFormat="1" applyFont="1" applyFill="1" applyBorder="1" applyAlignment="1" applyProtection="1">
      <alignment horizontal="right" vertical="center" wrapText="1"/>
    </xf>
    <xf numFmtId="0" fontId="43" fillId="38" borderId="45" xfId="0" applyFont="1" applyFill="1" applyBorder="1" applyAlignment="1" applyProtection="1">
      <alignment horizontal="right" vertical="center" wrapText="1"/>
    </xf>
    <xf numFmtId="176" fontId="43" fillId="38" borderId="45" xfId="0" applyNumberFormat="1" applyFont="1" applyFill="1" applyBorder="1" applyAlignment="1" applyProtection="1">
      <alignment horizontal="right" vertical="center" wrapText="1"/>
    </xf>
    <xf numFmtId="0" fontId="0" fillId="38" borderId="46" xfId="0" applyFill="1" applyBorder="1" applyAlignment="1" applyProtection="1">
      <alignment horizontal="center" vertical="center"/>
    </xf>
    <xf numFmtId="180" fontId="19" fillId="38" borderId="47" xfId="0" applyNumberFormat="1" applyFont="1" applyFill="1" applyBorder="1" applyAlignment="1" applyProtection="1">
      <alignment horizontal="right" vertical="center"/>
    </xf>
    <xf numFmtId="180" fontId="19" fillId="38" borderId="48" xfId="0" applyNumberFormat="1" applyFont="1" applyFill="1" applyBorder="1" applyAlignment="1" applyProtection="1">
      <alignment horizontal="right" vertical="center"/>
    </xf>
    <xf numFmtId="180" fontId="19" fillId="38" borderId="49" xfId="0" applyNumberFormat="1" applyFont="1" applyFill="1" applyBorder="1" applyProtection="1">
      <alignment vertical="center"/>
    </xf>
    <xf numFmtId="0" fontId="62" fillId="34" borderId="10" xfId="0" applyFont="1" applyFill="1" applyBorder="1" applyAlignment="1" applyProtection="1">
      <alignment horizontal="left" vertical="center"/>
    </xf>
    <xf numFmtId="0" fontId="19" fillId="0" borderId="20" xfId="0" applyFont="1" applyBorder="1" applyAlignment="1" applyProtection="1">
      <alignment horizontal="left" vertical="center" wrapText="1"/>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19" fillId="0" borderId="20" xfId="0" applyFont="1" applyBorder="1" applyAlignment="1" applyProtection="1">
      <alignment horizontal="right" vertical="center"/>
    </xf>
    <xf numFmtId="177" fontId="23" fillId="0" borderId="18" xfId="0" applyNumberFormat="1" applyFont="1" applyBorder="1" applyAlignment="1" applyProtection="1">
      <alignment horizontal="center" vertical="center" wrapText="1"/>
    </xf>
    <xf numFmtId="0" fontId="56" fillId="0" borderId="0" xfId="0" applyFont="1" applyProtection="1">
      <alignment vertical="center"/>
    </xf>
    <xf numFmtId="0" fontId="39" fillId="0" borderId="0" xfId="0" applyFont="1" applyAlignment="1" applyProtection="1">
      <alignment horizontal="justify" vertical="center"/>
    </xf>
    <xf numFmtId="0" fontId="50" fillId="0" borderId="10" xfId="0" applyFont="1" applyBorder="1" applyAlignment="1" applyProtection="1">
      <alignment horizontal="center" vertical="center"/>
    </xf>
    <xf numFmtId="0" fontId="19" fillId="0" borderId="12" xfId="0" applyFont="1" applyBorder="1" applyAlignment="1" applyProtection="1">
      <alignment horizontal="center" vertical="center"/>
    </xf>
    <xf numFmtId="0" fontId="19" fillId="0" borderId="11" xfId="0" applyFont="1" applyBorder="1" applyProtection="1">
      <alignment vertical="center"/>
    </xf>
    <xf numFmtId="0" fontId="19" fillId="0" borderId="10" xfId="0" applyFont="1" applyBorder="1" applyAlignment="1" applyProtection="1">
      <alignment vertical="center" shrinkToFit="1"/>
    </xf>
    <xf numFmtId="0" fontId="58" fillId="0" borderId="10" xfId="0" applyFont="1" applyBorder="1" applyAlignment="1" applyProtection="1">
      <alignment horizontal="center" vertical="center" wrapText="1"/>
    </xf>
    <xf numFmtId="180" fontId="0" fillId="38" borderId="45" xfId="0" applyNumberFormat="1" applyFill="1" applyBorder="1" applyAlignment="1" applyProtection="1">
      <alignment vertical="center"/>
    </xf>
    <xf numFmtId="0" fontId="44" fillId="0" borderId="22" xfId="0" applyFont="1" applyBorder="1" applyAlignment="1" applyProtection="1">
      <alignment vertical="center" wrapText="1"/>
    </xf>
    <xf numFmtId="0" fontId="27" fillId="0" borderId="10" xfId="0" applyFont="1" applyBorder="1" applyAlignment="1" applyProtection="1">
      <alignment horizontal="center" vertical="center" wrapText="1"/>
    </xf>
    <xf numFmtId="0" fontId="27" fillId="0" borderId="42" xfId="0" applyFont="1" applyBorder="1" applyAlignment="1" applyProtection="1">
      <alignment horizontal="center" vertical="center" wrapText="1"/>
    </xf>
    <xf numFmtId="0" fontId="19" fillId="0" borderId="22" xfId="0" applyFont="1" applyBorder="1" applyAlignment="1" applyProtection="1">
      <alignment horizontal="left" vertical="center" shrinkToFit="1"/>
    </xf>
    <xf numFmtId="177" fontId="36" fillId="0" borderId="42" xfId="0" applyNumberFormat="1" applyFont="1" applyBorder="1" applyProtection="1">
      <alignment vertical="center"/>
    </xf>
    <xf numFmtId="177" fontId="19" fillId="0" borderId="37" xfId="0" applyNumberFormat="1" applyFont="1" applyBorder="1" applyProtection="1">
      <alignment vertical="center"/>
    </xf>
    <xf numFmtId="177" fontId="36" fillId="0" borderId="78" xfId="0" applyNumberFormat="1" applyFont="1" applyBorder="1" applyProtection="1">
      <alignment vertical="center"/>
    </xf>
    <xf numFmtId="177" fontId="19" fillId="0" borderId="79" xfId="0" applyNumberFormat="1" applyFont="1" applyBorder="1" applyProtection="1">
      <alignment vertical="center"/>
    </xf>
    <xf numFmtId="177" fontId="36" fillId="0" borderId="80" xfId="0" applyNumberFormat="1" applyFont="1" applyBorder="1" applyProtection="1">
      <alignment vertical="center"/>
    </xf>
    <xf numFmtId="177" fontId="19" fillId="0" borderId="41" xfId="0" applyNumberFormat="1" applyFont="1" applyBorder="1" applyProtection="1">
      <alignment vertical="center"/>
    </xf>
    <xf numFmtId="177" fontId="36" fillId="0" borderId="81" xfId="0" applyNumberFormat="1" applyFont="1" applyBorder="1" applyProtection="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pplyProtection="1">
      <alignment horizontal="center" vertical="center" wrapText="1"/>
    </xf>
    <xf numFmtId="180" fontId="19" fillId="0" borderId="10" xfId="0" applyNumberFormat="1" applyFont="1" applyBorder="1" applyAlignment="1" applyProtection="1">
      <alignment vertical="center"/>
    </xf>
    <xf numFmtId="177" fontId="43" fillId="38" borderId="45" xfId="0" applyNumberFormat="1" applyFont="1" applyFill="1" applyBorder="1" applyAlignment="1" applyProtection="1">
      <alignment horizontal="right" vertical="center" wrapText="1"/>
    </xf>
    <xf numFmtId="0" fontId="26" fillId="0" borderId="0" xfId="0" applyFont="1" applyBorder="1" applyAlignment="1" applyProtection="1">
      <alignment vertical="center" wrapText="1"/>
    </xf>
    <xf numFmtId="0" fontId="23" fillId="36" borderId="28" xfId="0" applyFont="1" applyFill="1" applyBorder="1" applyAlignment="1" applyProtection="1">
      <alignment horizontal="center" vertical="center" wrapText="1"/>
      <protection locked="0"/>
    </xf>
    <xf numFmtId="0" fontId="0" fillId="0" borderId="0" xfId="0" applyFill="1" applyBorder="1" applyAlignment="1"/>
    <xf numFmtId="0" fontId="26" fillId="35" borderId="0" xfId="0" applyFont="1" applyFill="1" applyBorder="1" applyAlignment="1" applyProtection="1">
      <alignment vertical="center" wrapText="1"/>
    </xf>
    <xf numFmtId="2" fontId="19" fillId="0" borderId="46" xfId="0" applyNumberFormat="1" applyFont="1" applyBorder="1" applyProtection="1">
      <alignment vertical="center"/>
    </xf>
    <xf numFmtId="2" fontId="19" fillId="0" borderId="47" xfId="0" applyNumberFormat="1" applyFont="1" applyBorder="1" applyProtection="1">
      <alignment vertical="center"/>
    </xf>
    <xf numFmtId="0" fontId="19" fillId="0" borderId="13" xfId="0" applyFont="1" applyBorder="1" applyProtection="1">
      <alignment vertical="center"/>
    </xf>
    <xf numFmtId="176" fontId="23" fillId="0" borderId="83" xfId="0" applyNumberFormat="1" applyFont="1" applyFill="1" applyBorder="1" applyAlignment="1" applyProtection="1">
      <alignment horizontal="center" vertical="center" wrapText="1"/>
    </xf>
    <xf numFmtId="0" fontId="26" fillId="0" borderId="47" xfId="0" applyFont="1" applyBorder="1" applyAlignment="1" applyProtection="1">
      <alignment horizontal="center" vertical="center" wrapText="1"/>
    </xf>
    <xf numFmtId="2" fontId="19" fillId="0" borderId="28" xfId="0" applyNumberFormat="1" applyFont="1" applyBorder="1" applyProtection="1">
      <alignment vertical="center"/>
    </xf>
    <xf numFmtId="0" fontId="31" fillId="0" borderId="0" xfId="0" applyFont="1" applyBorder="1" applyAlignment="1" applyProtection="1">
      <alignment horizontal="center" vertical="center"/>
    </xf>
    <xf numFmtId="0" fontId="23" fillId="36" borderId="30" xfId="0" applyFont="1" applyFill="1" applyBorder="1" applyAlignment="1" applyProtection="1">
      <alignment horizontal="center" vertical="center" wrapText="1"/>
      <protection locked="0"/>
    </xf>
    <xf numFmtId="0" fontId="19" fillId="0" borderId="18" xfId="0" applyFont="1" applyBorder="1" applyAlignment="1" applyProtection="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pplyProtection="1">
      <alignment vertical="center"/>
    </xf>
    <xf numFmtId="0" fontId="45" fillId="0" borderId="0" xfId="0" applyFont="1" applyBorder="1" applyProtection="1">
      <alignment vertical="center"/>
    </xf>
    <xf numFmtId="0" fontId="64" fillId="0" borderId="0" xfId="0" applyFont="1" applyProtection="1">
      <alignment vertical="center"/>
    </xf>
    <xf numFmtId="0" fontId="66" fillId="0" borderId="0" xfId="0" applyFont="1" applyAlignment="1" applyProtection="1">
      <alignment vertical="center"/>
    </xf>
    <xf numFmtId="0" fontId="67" fillId="0" borderId="0" xfId="0" applyFont="1" applyProtection="1">
      <alignment vertical="center"/>
    </xf>
    <xf numFmtId="0" fontId="65" fillId="0" borderId="0" xfId="0" applyFont="1" applyFill="1" applyAlignment="1" applyProtection="1">
      <alignment horizontal="right" vertical="center"/>
    </xf>
    <xf numFmtId="0" fontId="66" fillId="0" borderId="0" xfId="0" applyFont="1" applyAlignment="1" applyProtection="1">
      <alignment horizontal="justify" vertical="center"/>
    </xf>
    <xf numFmtId="0" fontId="66" fillId="0" borderId="0" xfId="0" applyFont="1" applyAlignment="1" applyProtection="1">
      <alignment horizontal="left" vertical="center"/>
    </xf>
    <xf numFmtId="0" fontId="66" fillId="0" borderId="0" xfId="0" applyFont="1" applyFill="1" applyAlignment="1" applyProtection="1">
      <alignment vertical="center" shrinkToFit="1"/>
    </xf>
    <xf numFmtId="0" fontId="41" fillId="0" borderId="0" xfId="0" applyFont="1" applyAlignment="1">
      <alignment horizontal="right" vertical="center"/>
    </xf>
    <xf numFmtId="0" fontId="70" fillId="0" borderId="0" xfId="0" applyFont="1" applyProtection="1">
      <alignment vertical="center"/>
    </xf>
    <xf numFmtId="0" fontId="66" fillId="0" borderId="0" xfId="0" applyFont="1" applyProtection="1">
      <alignment vertical="center"/>
    </xf>
    <xf numFmtId="0" fontId="67" fillId="0" borderId="0" xfId="0" applyFont="1" applyAlignment="1" applyProtection="1">
      <alignment horizontal="left" vertical="center"/>
    </xf>
    <xf numFmtId="0" fontId="67" fillId="0" borderId="0" xfId="0" applyFont="1" applyBorder="1" applyAlignment="1" applyProtection="1">
      <alignment horizontal="right" vertical="top"/>
    </xf>
    <xf numFmtId="0" fontId="72" fillId="0" borderId="0" xfId="0" applyFont="1" applyBorder="1" applyAlignment="1" applyProtection="1">
      <alignment horizontal="left" vertical="top" wrapText="1"/>
    </xf>
    <xf numFmtId="0" fontId="67" fillId="0" borderId="0" xfId="0" applyFont="1" applyAlignment="1" applyProtection="1">
      <alignment horizontal="left" vertical="center" indent="2"/>
    </xf>
    <xf numFmtId="178" fontId="73" fillId="0" borderId="0" xfId="0" applyNumberFormat="1" applyFont="1" applyBorder="1" applyAlignment="1" applyProtection="1">
      <alignment horizontal="right" vertical="top"/>
    </xf>
    <xf numFmtId="0" fontId="19" fillId="0" borderId="22" xfId="0" applyFont="1" applyBorder="1" applyAlignment="1" applyProtection="1">
      <alignment horizontal="right" vertical="center" shrinkToFit="1"/>
    </xf>
    <xf numFmtId="0" fontId="19" fillId="0" borderId="79" xfId="0" applyFont="1" applyBorder="1" applyProtection="1">
      <alignment vertical="center"/>
    </xf>
    <xf numFmtId="0" fontId="19" fillId="0" borderId="79" xfId="0" applyFont="1" applyBorder="1" applyAlignment="1" applyProtection="1">
      <alignment horizontal="right" vertical="center"/>
    </xf>
    <xf numFmtId="0" fontId="36" fillId="0" borderId="79" xfId="0" applyFont="1" applyBorder="1" applyAlignment="1" applyProtection="1">
      <alignment vertical="center" wrapText="1"/>
    </xf>
    <xf numFmtId="0" fontId="19" fillId="0" borderId="89" xfId="0" applyFont="1" applyBorder="1" applyAlignment="1" applyProtection="1">
      <alignment horizontal="center" vertical="center" shrinkToFit="1"/>
    </xf>
    <xf numFmtId="0" fontId="19" fillId="0" borderId="90" xfId="0" applyFont="1" applyBorder="1" applyAlignment="1" applyProtection="1">
      <alignment horizontal="right" vertical="center" shrinkToFit="1"/>
    </xf>
    <xf numFmtId="0" fontId="19" fillId="0" borderId="91" xfId="0" applyFont="1" applyBorder="1" applyAlignment="1" applyProtection="1">
      <alignment horizontal="right" vertical="center" shrinkToFit="1"/>
    </xf>
    <xf numFmtId="180" fontId="36" fillId="0" borderId="18" xfId="0" applyNumberFormat="1" applyFont="1" applyBorder="1" applyAlignment="1" applyProtection="1">
      <alignment vertical="center" wrapText="1"/>
    </xf>
    <xf numFmtId="177" fontId="19" fillId="0" borderId="20" xfId="0" applyNumberFormat="1" applyFont="1" applyBorder="1" applyAlignment="1" applyProtection="1">
      <alignment horizontal="right" vertical="center" shrinkToFit="1"/>
    </xf>
    <xf numFmtId="177" fontId="19" fillId="0" borderId="79" xfId="0" applyNumberFormat="1" applyFont="1" applyBorder="1" applyAlignment="1" applyProtection="1">
      <alignment horizontal="right" vertical="center" shrinkToFit="1"/>
    </xf>
    <xf numFmtId="180" fontId="36" fillId="0" borderId="79" xfId="0" applyNumberFormat="1" applyFont="1" applyBorder="1" applyAlignment="1" applyProtection="1">
      <alignment vertical="center" wrapText="1"/>
    </xf>
    <xf numFmtId="180" fontId="36" fillId="0" borderId="41" xfId="0" applyNumberFormat="1" applyFont="1" applyBorder="1" applyAlignment="1" applyProtection="1">
      <alignment vertical="center" wrapText="1"/>
    </xf>
    <xf numFmtId="0" fontId="36" fillId="0" borderId="18" xfId="0" applyFont="1" applyBorder="1" applyAlignment="1" applyProtection="1">
      <alignment vertical="center" wrapText="1"/>
    </xf>
    <xf numFmtId="0" fontId="19" fillId="0" borderId="92" xfId="0" applyFont="1" applyBorder="1" applyAlignment="1" applyProtection="1">
      <alignment horizontal="center" vertical="center" shrinkToFit="1"/>
    </xf>
    <xf numFmtId="0" fontId="19" fillId="0" borderId="93" xfId="0" applyFont="1" applyBorder="1" applyAlignment="1" applyProtection="1">
      <alignment horizontal="right" vertical="center" shrinkToFit="1"/>
    </xf>
    <xf numFmtId="0" fontId="19" fillId="0" borderId="16" xfId="0" applyFont="1" applyBorder="1" applyAlignment="1" applyProtection="1">
      <alignment horizontal="right" vertical="center" shrinkToFit="1"/>
    </xf>
    <xf numFmtId="177" fontId="19" fillId="0" borderId="20" xfId="0" applyNumberFormat="1" applyFont="1" applyBorder="1" applyProtection="1">
      <alignment vertical="center"/>
    </xf>
    <xf numFmtId="177" fontId="36" fillId="0" borderId="94" xfId="0" applyNumberFormat="1" applyFont="1" applyBorder="1" applyProtection="1">
      <alignment vertical="center"/>
    </xf>
    <xf numFmtId="0" fontId="29" fillId="0" borderId="16" xfId="0" applyFont="1" applyFill="1" applyBorder="1" applyAlignment="1" applyProtection="1">
      <alignment wrapText="1"/>
    </xf>
    <xf numFmtId="0" fontId="0" fillId="0" borderId="0" xfId="0" applyFont="1" applyAlignment="1" applyProtection="1">
      <alignment vertical="top"/>
    </xf>
    <xf numFmtId="0" fontId="19" fillId="0" borderId="0" xfId="0" applyFont="1" applyAlignment="1" applyProtection="1">
      <alignment vertical="top"/>
    </xf>
    <xf numFmtId="0" fontId="0" fillId="0" borderId="0" xfId="0" applyAlignment="1" applyProtection="1">
      <alignment vertical="top"/>
    </xf>
    <xf numFmtId="0" fontId="19" fillId="0" borderId="0" xfId="0" applyFont="1" applyBorder="1" applyAlignment="1" applyProtection="1">
      <alignment vertical="top"/>
    </xf>
    <xf numFmtId="0" fontId="43" fillId="0" borderId="0" xfId="0" applyFont="1" applyBorder="1" applyAlignment="1" applyProtection="1">
      <alignment vertical="top"/>
    </xf>
    <xf numFmtId="177" fontId="19" fillId="0" borderId="0" xfId="0" applyNumberFormat="1" applyFont="1" applyBorder="1" applyAlignment="1" applyProtection="1">
      <alignment vertical="top"/>
    </xf>
    <xf numFmtId="176" fontId="43" fillId="0" borderId="0" xfId="0" applyNumberFormat="1" applyFont="1" applyFill="1" applyBorder="1" applyAlignment="1" applyProtection="1">
      <alignment horizontal="right" vertical="top" wrapText="1"/>
    </xf>
    <xf numFmtId="0" fontId="0" fillId="0" borderId="0" xfId="0" applyBorder="1" applyAlignment="1" applyProtection="1">
      <alignment horizontal="right" vertical="top"/>
    </xf>
    <xf numFmtId="0" fontId="0" fillId="0" borderId="0" xfId="0" applyBorder="1" applyAlignment="1" applyProtection="1">
      <alignment vertical="top"/>
    </xf>
    <xf numFmtId="0" fontId="19" fillId="0" borderId="10" xfId="0" applyFont="1" applyBorder="1" applyAlignment="1" applyProtection="1">
      <alignment horizontal="center" vertical="top"/>
    </xf>
    <xf numFmtId="0" fontId="0" fillId="0" borderId="0" xfId="0" applyFont="1" applyAlignment="1" applyProtection="1">
      <alignment vertical="center"/>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pplyProtection="1">
      <alignment vertical="center"/>
    </xf>
    <xf numFmtId="0" fontId="19" fillId="0" borderId="18" xfId="0" applyFont="1" applyBorder="1" applyProtection="1">
      <alignment vertical="center"/>
    </xf>
    <xf numFmtId="0" fontId="19" fillId="0" borderId="51" xfId="0" applyFont="1" applyBorder="1" applyProtection="1">
      <alignment vertical="center"/>
    </xf>
    <xf numFmtId="177" fontId="19" fillId="0" borderId="96" xfId="0" applyNumberFormat="1" applyFont="1" applyBorder="1" applyAlignment="1" applyProtection="1">
      <alignment horizontal="right" vertical="center" shrinkToFit="1"/>
    </xf>
    <xf numFmtId="177" fontId="19" fillId="0" borderId="97" xfId="0" applyNumberFormat="1" applyFont="1" applyBorder="1" applyAlignment="1" applyProtection="1">
      <alignment horizontal="right" vertical="center" shrinkToFit="1"/>
    </xf>
    <xf numFmtId="177" fontId="19" fillId="0" borderId="51" xfId="0" applyNumberFormat="1" applyFont="1" applyBorder="1" applyAlignment="1" applyProtection="1">
      <alignment horizontal="right" vertical="center" shrinkToFit="1"/>
    </xf>
    <xf numFmtId="177" fontId="19" fillId="0" borderId="98" xfId="0" applyNumberFormat="1" applyFont="1" applyBorder="1" applyAlignment="1" applyProtection="1">
      <alignment horizontal="right" vertical="center" shrinkToFit="1"/>
    </xf>
    <xf numFmtId="180" fontId="36" fillId="0" borderId="51" xfId="0" applyNumberFormat="1" applyFont="1" applyBorder="1" applyAlignment="1" applyProtection="1">
      <alignment vertical="center" wrapText="1"/>
    </xf>
    <xf numFmtId="0" fontId="19" fillId="0" borderId="20" xfId="0" applyFont="1" applyBorder="1" applyAlignment="1" applyProtection="1">
      <alignment horizontal="right" vertical="center"/>
    </xf>
    <xf numFmtId="0" fontId="19" fillId="0" borderId="13" xfId="0" applyFont="1" applyBorder="1" applyAlignment="1" applyProtection="1">
      <alignment horizontal="right" vertical="center"/>
    </xf>
    <xf numFmtId="0" fontId="19" fillId="0" borderId="99" xfId="0" applyFont="1" applyBorder="1" applyAlignment="1" applyProtection="1">
      <alignment horizontal="right" vertical="center"/>
    </xf>
    <xf numFmtId="0" fontId="19" fillId="0" borderId="10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01" xfId="0" applyFont="1" applyBorder="1" applyProtection="1">
      <alignment vertical="center"/>
    </xf>
    <xf numFmtId="0" fontId="19" fillId="0" borderId="77" xfId="0" applyFont="1" applyBorder="1" applyProtection="1">
      <alignment vertical="center"/>
    </xf>
    <xf numFmtId="0" fontId="19" fillId="0" borderId="91" xfId="0" applyFont="1" applyBorder="1" applyProtection="1">
      <alignment vertical="center"/>
    </xf>
    <xf numFmtId="0" fontId="19" fillId="0" borderId="95" xfId="0" applyFont="1" applyBorder="1" applyProtection="1">
      <alignment vertical="center"/>
    </xf>
    <xf numFmtId="0" fontId="19" fillId="0" borderId="90" xfId="0" applyFont="1" applyBorder="1" applyProtection="1">
      <alignment vertical="center"/>
    </xf>
    <xf numFmtId="0" fontId="19" fillId="0" borderId="89" xfId="0" applyFont="1" applyBorder="1" applyProtection="1">
      <alignment vertical="center"/>
    </xf>
    <xf numFmtId="0" fontId="19" fillId="0" borderId="36" xfId="0" applyFont="1" applyBorder="1" applyProtection="1">
      <alignment vertical="center"/>
    </xf>
    <xf numFmtId="0" fontId="19" fillId="0" borderId="35" xfId="0" applyFont="1" applyBorder="1" applyProtection="1">
      <alignment vertical="center"/>
    </xf>
    <xf numFmtId="0" fontId="43" fillId="0" borderId="10" xfId="0" applyFont="1" applyFill="1" applyBorder="1" applyAlignment="1" applyProtection="1">
      <alignment vertical="center" wrapText="1"/>
    </xf>
    <xf numFmtId="0" fontId="43" fillId="0" borderId="10" xfId="0" applyFont="1" applyFill="1" applyBorder="1" applyAlignment="1" applyProtection="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59" fillId="34" borderId="12" xfId="0" applyFont="1" applyFill="1" applyBorder="1" applyAlignment="1" applyProtection="1">
      <alignment horizontal="center" vertical="center"/>
    </xf>
    <xf numFmtId="0" fontId="59" fillId="34" borderId="11" xfId="0" applyFont="1" applyFill="1" applyBorder="1" applyAlignment="1" applyProtection="1">
      <alignment horizontal="center" vertical="center"/>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protection locked="0"/>
    </xf>
    <xf numFmtId="0" fontId="19" fillId="35" borderId="11" xfId="0" applyFont="1" applyFill="1" applyBorder="1" applyAlignment="1" applyProtection="1">
      <alignment vertical="center"/>
      <protection locked="0"/>
    </xf>
    <xf numFmtId="0" fontId="55" fillId="0" borderId="0" xfId="0" applyFont="1" applyAlignment="1" applyProtection="1">
      <alignment horizontal="center" vertical="center"/>
    </xf>
    <xf numFmtId="0" fontId="19" fillId="0" borderId="18"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23" fillId="36" borderId="30" xfId="0" applyFont="1" applyFill="1" applyBorder="1" applyAlignment="1" applyProtection="1">
      <alignment horizontal="center" vertical="center" wrapText="1"/>
      <protection locked="0"/>
    </xf>
    <xf numFmtId="0" fontId="23" fillId="36" borderId="56"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pplyProtection="1">
      <alignment horizontal="justify"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2"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0" fontId="54" fillId="0" borderId="0" xfId="0" applyFont="1" applyAlignment="1" applyProtection="1">
      <alignment horizontal="justify" vertical="top" wrapText="1"/>
    </xf>
    <xf numFmtId="0" fontId="37" fillId="0" borderId="18" xfId="0" applyFont="1" applyBorder="1" applyAlignment="1" applyProtection="1">
      <alignment horizontal="center" vertical="center" textRotation="255"/>
    </xf>
    <xf numFmtId="0" fontId="37" fillId="0" borderId="19" xfId="0" applyFont="1" applyBorder="1" applyAlignment="1" applyProtection="1">
      <alignment horizontal="center" vertical="center" textRotation="255"/>
    </xf>
    <xf numFmtId="0" fontId="37" fillId="0" borderId="20" xfId="0" applyFont="1" applyBorder="1" applyAlignment="1" applyProtection="1">
      <alignment horizontal="center" vertical="center" textRotation="255"/>
    </xf>
    <xf numFmtId="0" fontId="54" fillId="0" borderId="24" xfId="0" applyFont="1" applyBorder="1" applyAlignment="1" applyProtection="1">
      <alignment horizontal="center" vertical="center" wrapText="1"/>
    </xf>
    <xf numFmtId="0" fontId="54" fillId="0" borderId="24" xfId="0" applyFont="1" applyBorder="1" applyAlignment="1" applyProtection="1">
      <alignment horizontal="center" vertical="center"/>
    </xf>
    <xf numFmtId="0" fontId="53" fillId="0" borderId="24" xfId="0" applyFont="1" applyBorder="1" applyAlignment="1" applyProtection="1">
      <alignment horizontal="center" vertical="center"/>
    </xf>
    <xf numFmtId="0" fontId="23" fillId="0" borderId="24" xfId="0" applyFont="1" applyFill="1" applyBorder="1" applyAlignment="1" applyProtection="1">
      <alignment horizontal="left" vertical="center" wrapText="1"/>
    </xf>
    <xf numFmtId="0" fontId="23" fillId="0" borderId="11" xfId="0" applyFont="1" applyFill="1" applyBorder="1" applyAlignment="1" applyProtection="1">
      <alignment horizontal="left" vertical="center" wrapText="1"/>
    </xf>
    <xf numFmtId="0" fontId="21" fillId="0" borderId="44" xfId="0" applyFont="1" applyFill="1" applyBorder="1" applyAlignment="1" applyProtection="1">
      <alignment horizontal="left" vertical="top" wrapText="1" shrinkToFit="1"/>
    </xf>
    <xf numFmtId="0" fontId="21" fillId="0" borderId="53" xfId="0" applyFont="1" applyFill="1" applyBorder="1" applyAlignment="1" applyProtection="1">
      <alignment horizontal="left" vertical="top" wrapText="1" shrinkToFi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22" fillId="0" borderId="10" xfId="0" applyFont="1" applyBorder="1" applyAlignment="1" applyProtection="1">
      <alignment horizontal="center" vertical="center" wrapText="1"/>
    </xf>
    <xf numFmtId="0" fontId="21" fillId="0" borderId="0" xfId="0" applyFont="1" applyBorder="1" applyAlignment="1" applyProtection="1">
      <alignment horizontal="right" vertical="center" wrapText="1"/>
    </xf>
    <xf numFmtId="0" fontId="21" fillId="0" borderId="0" xfId="0" applyFont="1" applyFill="1" applyBorder="1" applyAlignment="1" applyProtection="1">
      <alignment horizontal="left" vertical="center" shrinkToFit="1"/>
    </xf>
    <xf numFmtId="0" fontId="53" fillId="0" borderId="56" xfId="0" applyFont="1" applyFill="1" applyBorder="1" applyAlignment="1" applyProtection="1">
      <alignment horizontal="center"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37" fillId="0" borderId="10" xfId="0" applyFont="1" applyBorder="1" applyAlignment="1" applyProtection="1">
      <alignment horizontal="center" vertical="center" textRotation="255"/>
    </xf>
    <xf numFmtId="177" fontId="26" fillId="33" borderId="18" xfId="0" applyNumberFormat="1" applyFont="1" applyFill="1" applyBorder="1" applyAlignment="1" applyProtection="1">
      <alignment horizontal="center" vertical="center" wrapText="1"/>
    </xf>
    <xf numFmtId="177" fontId="26" fillId="33" borderId="20" xfId="0" applyNumberFormat="1" applyFont="1" applyFill="1" applyBorder="1" applyAlignment="1" applyProtection="1">
      <alignment horizontal="center" vertical="center" wrapText="1"/>
    </xf>
    <xf numFmtId="177" fontId="26" fillId="33" borderId="10" xfId="0" applyNumberFormat="1" applyFont="1" applyFill="1" applyBorder="1" applyAlignment="1" applyProtection="1">
      <alignment horizontal="center" vertical="center" wrapText="1"/>
    </xf>
    <xf numFmtId="177" fontId="26" fillId="33" borderId="65" xfId="0" applyNumberFormat="1" applyFont="1" applyFill="1" applyBorder="1" applyAlignment="1" applyProtection="1">
      <alignment horizontal="center" vertical="center" wrapText="1"/>
    </xf>
    <xf numFmtId="0" fontId="23" fillId="0" borderId="14"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18" xfId="0"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19" xfId="0" applyFont="1" applyBorder="1" applyAlignment="1" applyProtection="1">
      <alignment horizontal="left" vertical="center" wrapText="1"/>
    </xf>
    <xf numFmtId="0" fontId="23" fillId="0" borderId="13" xfId="0" applyFont="1" applyBorder="1" applyAlignment="1" applyProtection="1">
      <alignment horizontal="left" vertical="center" wrapText="1"/>
    </xf>
    <xf numFmtId="0" fontId="23" fillId="0" borderId="20" xfId="0" applyFont="1" applyBorder="1" applyAlignment="1" applyProtection="1">
      <alignment horizontal="left" vertical="center" wrapText="1"/>
    </xf>
    <xf numFmtId="176" fontId="23" fillId="0" borderId="18" xfId="0" applyNumberFormat="1" applyFont="1" applyBorder="1" applyAlignment="1" applyProtection="1">
      <alignment horizontal="center" vertical="center" wrapText="1"/>
    </xf>
    <xf numFmtId="176" fontId="23" fillId="0" borderId="19" xfId="0" applyNumberFormat="1" applyFont="1" applyBorder="1" applyAlignment="1" applyProtection="1">
      <alignment horizontal="center" vertical="center" wrapText="1"/>
    </xf>
    <xf numFmtId="176" fontId="23" fillId="0" borderId="20" xfId="0" applyNumberFormat="1" applyFont="1" applyBorder="1" applyAlignment="1" applyProtection="1">
      <alignment horizontal="center" vertical="center" wrapText="1"/>
    </xf>
    <xf numFmtId="181" fontId="26" fillId="33" borderId="18" xfId="0" applyNumberFormat="1" applyFont="1" applyFill="1" applyBorder="1" applyAlignment="1" applyProtection="1">
      <alignment horizontal="center" vertical="center" wrapText="1" shrinkToFit="1"/>
    </xf>
    <xf numFmtId="181" fontId="26" fillId="33" borderId="19" xfId="0" applyNumberFormat="1" applyFont="1" applyFill="1" applyBorder="1" applyAlignment="1" applyProtection="1">
      <alignment horizontal="center" vertical="center" wrapText="1" shrinkToFit="1"/>
    </xf>
    <xf numFmtId="181" fontId="26" fillId="33" borderId="20" xfId="0" applyNumberFormat="1" applyFont="1" applyFill="1" applyBorder="1" applyAlignment="1" applyProtection="1">
      <alignment horizontal="center" vertical="center" wrapText="1" shrinkToFit="1"/>
    </xf>
    <xf numFmtId="0" fontId="47" fillId="0" borderId="24" xfId="0" applyFont="1" applyFill="1" applyBorder="1" applyAlignment="1" applyProtection="1">
      <alignment horizontal="center" vertical="center" wrapText="1" shrinkToFit="1"/>
    </xf>
    <xf numFmtId="0" fontId="47" fillId="0" borderId="23" xfId="0" applyFont="1" applyFill="1" applyBorder="1" applyAlignment="1" applyProtection="1">
      <alignment horizontal="center" vertical="center" wrapText="1" shrinkToFit="1"/>
    </xf>
    <xf numFmtId="0" fontId="53" fillId="0" borderId="76" xfId="0" applyFont="1" applyBorder="1" applyAlignment="1" applyProtection="1">
      <alignment horizontal="center"/>
    </xf>
    <xf numFmtId="0" fontId="53" fillId="0" borderId="58" xfId="0" applyFont="1" applyBorder="1" applyAlignment="1" applyProtection="1">
      <alignment horizontal="center"/>
    </xf>
    <xf numFmtId="0" fontId="53" fillId="0" borderId="59" xfId="0" applyFont="1" applyBorder="1" applyAlignment="1" applyProtection="1">
      <alignment horizontal="center"/>
    </xf>
    <xf numFmtId="0" fontId="53" fillId="0" borderId="17" xfId="0" applyFont="1" applyBorder="1" applyAlignment="1" applyProtection="1">
      <alignment horizontal="center" vertical="center"/>
    </xf>
    <xf numFmtId="0" fontId="53" fillId="0" borderId="23" xfId="0" applyFont="1" applyBorder="1" applyAlignment="1" applyProtection="1">
      <alignment horizontal="center" vertical="center"/>
    </xf>
    <xf numFmtId="0" fontId="53" fillId="0" borderId="13" xfId="0" applyFont="1" applyBorder="1" applyAlignment="1" applyProtection="1">
      <alignment horizontal="center" vertical="center"/>
    </xf>
    <xf numFmtId="0" fontId="26" fillId="0" borderId="25"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22"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12" xfId="0" applyFont="1" applyBorder="1" applyAlignment="1" applyProtection="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4"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Fill="1" applyBorder="1" applyAlignment="1" applyProtection="1">
      <alignment horizontal="left"/>
    </xf>
    <xf numFmtId="0" fontId="29" fillId="0" borderId="0" xfId="0" applyFont="1" applyFill="1" applyBorder="1" applyAlignment="1" applyProtection="1">
      <alignment horizontal="left"/>
    </xf>
    <xf numFmtId="0" fontId="53" fillId="0" borderId="17" xfId="0" applyFont="1" applyFill="1" applyBorder="1" applyAlignment="1" applyProtection="1">
      <alignment horizontal="right" vertical="center"/>
    </xf>
    <xf numFmtId="0" fontId="53" fillId="0" borderId="23"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19" fillId="0" borderId="18" xfId="0" applyFont="1" applyBorder="1" applyAlignment="1" applyProtection="1">
      <alignment horizontal="right" vertical="center"/>
    </xf>
    <xf numFmtId="0" fontId="19" fillId="0" borderId="20" xfId="0" applyFont="1" applyBorder="1" applyAlignment="1" applyProtection="1">
      <alignment horizontal="right" vertical="center"/>
    </xf>
    <xf numFmtId="0" fontId="37" fillId="0" borderId="60" xfId="0" applyFont="1" applyFill="1" applyBorder="1" applyAlignment="1" applyProtection="1">
      <alignment horizontal="center" vertical="center" textRotation="255"/>
    </xf>
    <xf numFmtId="0" fontId="37" fillId="0" borderId="61" xfId="0" applyFont="1" applyFill="1" applyBorder="1" applyAlignment="1" applyProtection="1">
      <alignment horizontal="center" vertical="center" textRotation="255"/>
    </xf>
    <xf numFmtId="0" fontId="37" fillId="0" borderId="62" xfId="0" applyFont="1" applyFill="1" applyBorder="1" applyAlignment="1" applyProtection="1">
      <alignment horizontal="center" vertical="center" textRotation="255"/>
    </xf>
    <xf numFmtId="0" fontId="26" fillId="0" borderId="18"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19" fillId="0" borderId="19" xfId="0" applyFont="1" applyBorder="1" applyAlignment="1" applyProtection="1">
      <alignment horizontal="right" vertical="center"/>
    </xf>
    <xf numFmtId="177" fontId="26" fillId="0" borderId="18" xfId="0" applyNumberFormat="1" applyFont="1" applyBorder="1" applyAlignment="1" applyProtection="1">
      <alignment horizontal="center" vertical="center" wrapText="1"/>
    </xf>
    <xf numFmtId="177" fontId="26" fillId="0" borderId="20" xfId="0" applyNumberFormat="1" applyFont="1" applyBorder="1" applyAlignment="1" applyProtection="1">
      <alignment horizontal="center" vertical="center" wrapText="1"/>
    </xf>
    <xf numFmtId="177" fontId="26" fillId="0" borderId="19" xfId="0" applyNumberFormat="1" applyFont="1" applyBorder="1" applyAlignment="1" applyProtection="1">
      <alignment horizontal="center" vertical="center" wrapText="1"/>
    </xf>
    <xf numFmtId="177" fontId="26" fillId="0" borderId="63" xfId="0" applyNumberFormat="1" applyFont="1" applyBorder="1" applyAlignment="1" applyProtection="1">
      <alignment horizontal="center" vertical="center" wrapText="1"/>
    </xf>
    <xf numFmtId="0" fontId="26" fillId="0" borderId="64" xfId="0" applyFont="1" applyBorder="1" applyAlignment="1" applyProtection="1">
      <alignment horizontal="left" wrapText="1"/>
    </xf>
    <xf numFmtId="0" fontId="26" fillId="0" borderId="19" xfId="0" applyFont="1" applyBorder="1" applyAlignment="1" applyProtection="1">
      <alignment horizontal="left" wrapText="1"/>
    </xf>
    <xf numFmtId="0" fontId="26" fillId="0" borderId="20" xfId="0" applyFont="1" applyBorder="1" applyAlignment="1" applyProtection="1">
      <alignment horizontal="left" wrapText="1"/>
    </xf>
    <xf numFmtId="0" fontId="26" fillId="0" borderId="11" xfId="0" applyFont="1" applyBorder="1" applyAlignment="1" applyProtection="1">
      <alignment horizontal="left" vertical="center" wrapText="1"/>
    </xf>
    <xf numFmtId="177" fontId="26" fillId="33" borderId="64" xfId="0" applyNumberFormat="1" applyFont="1" applyFill="1" applyBorder="1" applyAlignment="1" applyProtection="1">
      <alignment horizontal="center" vertical="center" wrapText="1"/>
    </xf>
    <xf numFmtId="177" fontId="26" fillId="33" borderId="19" xfId="0" applyNumberFormat="1" applyFont="1" applyFill="1" applyBorder="1" applyAlignment="1" applyProtection="1">
      <alignment horizontal="center" vertical="center" wrapText="1"/>
    </xf>
    <xf numFmtId="177" fontId="26" fillId="33" borderId="17" xfId="0" applyNumberFormat="1" applyFont="1" applyFill="1" applyBorder="1" applyAlignment="1" applyProtection="1">
      <alignment horizontal="center" vertical="center" wrapText="1"/>
    </xf>
    <xf numFmtId="177" fontId="26" fillId="0" borderId="64" xfId="0" applyNumberFormat="1" applyFont="1" applyBorder="1" applyAlignment="1" applyProtection="1">
      <alignment horizontal="center" vertical="center" wrapText="1"/>
    </xf>
    <xf numFmtId="0" fontId="26" fillId="0" borderId="65" xfId="0" applyFont="1" applyFill="1" applyBorder="1" applyAlignment="1" applyProtection="1">
      <alignment horizontal="left" vertical="center" wrapText="1"/>
    </xf>
    <xf numFmtId="0" fontId="26" fillId="0" borderId="68" xfId="0" applyFont="1" applyFill="1" applyBorder="1" applyAlignment="1" applyProtection="1">
      <alignment horizontal="left" vertical="center" wrapText="1"/>
    </xf>
    <xf numFmtId="0" fontId="75" fillId="0" borderId="18" xfId="0" applyFont="1" applyBorder="1" applyAlignment="1" applyProtection="1">
      <alignment horizontal="left" wrapText="1"/>
    </xf>
    <xf numFmtId="0" fontId="75" fillId="0" borderId="19" xfId="0" applyFont="1" applyBorder="1" applyAlignment="1" applyProtection="1">
      <alignment horizontal="left" wrapText="1"/>
    </xf>
    <xf numFmtId="0" fontId="75" fillId="0" borderId="63" xfId="0" applyFont="1" applyBorder="1" applyAlignment="1" applyProtection="1">
      <alignment horizontal="left" wrapText="1"/>
    </xf>
    <xf numFmtId="0" fontId="26" fillId="0" borderId="12" xfId="0" applyFont="1" applyBorder="1" applyAlignment="1" applyProtection="1">
      <alignment horizontal="left" vertical="center"/>
    </xf>
    <xf numFmtId="0" fontId="26" fillId="0" borderId="84" xfId="0" applyFont="1" applyBorder="1" applyAlignment="1" applyProtection="1">
      <alignment horizontal="left" vertical="center" wrapText="1"/>
    </xf>
    <xf numFmtId="0" fontId="26" fillId="0" borderId="86" xfId="0" applyFont="1" applyBorder="1" applyAlignment="1" applyProtection="1">
      <alignment horizontal="left" vertical="center" wrapText="1"/>
    </xf>
    <xf numFmtId="177" fontId="26" fillId="0" borderId="84" xfId="0" applyNumberFormat="1" applyFont="1" applyFill="1" applyBorder="1" applyAlignment="1" applyProtection="1">
      <alignment horizontal="left" vertical="center" wrapText="1"/>
    </xf>
    <xf numFmtId="177" fontId="26" fillId="0" borderId="18" xfId="0" applyNumberFormat="1" applyFont="1" applyFill="1" applyBorder="1" applyAlignment="1" applyProtection="1">
      <alignment horizontal="left" vertical="center" wrapText="1"/>
    </xf>
    <xf numFmtId="177" fontId="26" fillId="0" borderId="88" xfId="0" applyNumberFormat="1" applyFont="1" applyFill="1" applyBorder="1" applyAlignment="1" applyProtection="1">
      <alignment horizontal="left" vertical="center" wrapText="1"/>
    </xf>
    <xf numFmtId="0" fontId="31" fillId="0" borderId="29" xfId="0" applyFont="1" applyBorder="1" applyAlignment="1" applyProtection="1">
      <alignment horizontal="center" vertical="center"/>
    </xf>
    <xf numFmtId="0" fontId="31" fillId="0" borderId="15" xfId="0" applyFont="1" applyBorder="1" applyAlignment="1" applyProtection="1">
      <alignment horizontal="center" vertical="center"/>
    </xf>
    <xf numFmtId="0" fontId="22" fillId="0" borderId="10" xfId="0" applyFont="1" applyFill="1" applyBorder="1" applyAlignment="1" applyProtection="1">
      <alignment horizontal="center" vertical="center" wrapText="1"/>
    </xf>
    <xf numFmtId="176" fontId="23" fillId="33" borderId="10" xfId="0" applyNumberFormat="1" applyFont="1" applyFill="1" applyBorder="1" applyAlignment="1" applyProtection="1">
      <alignment horizontal="center" vertical="center" wrapText="1"/>
    </xf>
    <xf numFmtId="0" fontId="41" fillId="0" borderId="0" xfId="0" applyFont="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176" fontId="23" fillId="0" borderId="18" xfId="0" applyNumberFormat="1" applyFont="1" applyFill="1" applyBorder="1" applyAlignment="1" applyProtection="1">
      <alignment horizontal="center" vertical="center" wrapText="1"/>
    </xf>
    <xf numFmtId="176" fontId="23" fillId="0" borderId="19" xfId="0" applyNumberFormat="1" applyFont="1" applyFill="1" applyBorder="1" applyAlignment="1" applyProtection="1">
      <alignment horizontal="center" vertical="center" wrapText="1"/>
    </xf>
    <xf numFmtId="0" fontId="37" fillId="0" borderId="25" xfId="0" applyFont="1" applyBorder="1" applyAlignment="1" applyProtection="1">
      <alignment horizontal="center" vertical="center" textRotation="255"/>
    </xf>
    <xf numFmtId="0" fontId="21" fillId="0" borderId="87" xfId="0" applyFont="1" applyFill="1" applyBorder="1" applyAlignment="1" applyProtection="1">
      <alignment horizontal="left" vertical="center" wrapText="1"/>
    </xf>
    <xf numFmtId="0" fontId="21" fillId="0" borderId="16" xfId="0" applyFont="1" applyFill="1" applyBorder="1" applyAlignment="1" applyProtection="1">
      <alignment horizontal="left" vertical="center" wrapText="1"/>
    </xf>
    <xf numFmtId="176" fontId="23" fillId="0" borderId="10" xfId="0" applyNumberFormat="1" applyFont="1" applyFill="1" applyBorder="1" applyAlignment="1" applyProtection="1">
      <alignment horizontal="center" vertical="center" wrapText="1"/>
    </xf>
    <xf numFmtId="0" fontId="23" fillId="0" borderId="23" xfId="0" applyFont="1" applyFill="1" applyBorder="1" applyAlignment="1" applyProtection="1">
      <alignment horizontal="left" vertical="center" wrapText="1"/>
    </xf>
    <xf numFmtId="0" fontId="23" fillId="0" borderId="1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6"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13" xfId="0" applyFont="1" applyFill="1" applyBorder="1" applyAlignment="1" applyProtection="1">
      <alignment horizontal="left" vertical="center" wrapText="1"/>
    </xf>
    <xf numFmtId="0" fontId="26" fillId="0" borderId="14" xfId="0" applyFont="1" applyFill="1" applyBorder="1" applyAlignment="1" applyProtection="1">
      <alignment horizontal="left" vertical="center" wrapText="1"/>
    </xf>
    <xf numFmtId="0" fontId="26" fillId="0" borderId="25"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177" fontId="26" fillId="0" borderId="18" xfId="0" applyNumberFormat="1" applyFont="1" applyFill="1" applyBorder="1" applyAlignment="1" applyProtection="1">
      <alignment horizontal="center" vertical="center" wrapText="1"/>
    </xf>
    <xf numFmtId="177" fontId="26" fillId="0" borderId="19" xfId="0" applyNumberFormat="1" applyFont="1" applyFill="1" applyBorder="1" applyAlignment="1" applyProtection="1">
      <alignment horizontal="center" vertical="center" wrapText="1"/>
    </xf>
    <xf numFmtId="177" fontId="26" fillId="0" borderId="20" xfId="0" applyNumberFormat="1" applyFont="1" applyFill="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54" fillId="0" borderId="17" xfId="0" applyFont="1" applyFill="1" applyBorder="1" applyAlignment="1" applyProtection="1">
      <alignment horizontal="left" vertical="center" wrapText="1"/>
    </xf>
    <xf numFmtId="0" fontId="54" fillId="0" borderId="75" xfId="0" applyFont="1" applyFill="1" applyBorder="1" applyAlignment="1" applyProtection="1">
      <alignment horizontal="left" vertical="center" wrapText="1"/>
    </xf>
    <xf numFmtId="0" fontId="26" fillId="0" borderId="54" xfId="0" applyFont="1" applyFill="1" applyBorder="1" applyAlignment="1" applyProtection="1">
      <alignment horizontal="left" vertical="center" wrapText="1"/>
    </xf>
    <xf numFmtId="0" fontId="54" fillId="0" borderId="25"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67" xfId="0" applyFont="1" applyFill="1" applyBorder="1" applyAlignment="1" applyProtection="1">
      <alignment horizontal="left" vertical="center" wrapText="1"/>
    </xf>
    <xf numFmtId="0" fontId="54" fillId="0" borderId="14" xfId="0" quotePrefix="1" applyFont="1" applyBorder="1" applyAlignment="1" applyProtection="1">
      <alignment horizontal="left" vertical="center" wrapText="1"/>
    </xf>
    <xf numFmtId="0" fontId="54" fillId="0" borderId="21" xfId="0" quotePrefix="1" applyFont="1" applyBorder="1" applyAlignment="1" applyProtection="1">
      <alignment horizontal="left" vertical="center" wrapText="1"/>
    </xf>
    <xf numFmtId="0" fontId="54" fillId="0" borderId="12" xfId="0" quotePrefix="1" applyFont="1" applyBorder="1" applyAlignment="1" applyProtection="1">
      <alignment horizontal="left" vertical="center" wrapText="1"/>
    </xf>
    <xf numFmtId="0" fontId="54" fillId="0" borderId="24" xfId="0" quotePrefix="1" applyFont="1" applyBorder="1" applyAlignment="1" applyProtection="1">
      <alignment horizontal="left" vertical="center" wrapText="1"/>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8" fillId="0" borderId="70" xfId="0" applyFont="1" applyFill="1" applyBorder="1" applyAlignment="1" applyProtection="1">
      <alignment horizontal="right" vertical="center" wrapText="1"/>
    </xf>
    <xf numFmtId="0" fontId="28" fillId="0" borderId="56" xfId="0" applyFont="1" applyFill="1" applyBorder="1" applyAlignment="1" applyProtection="1">
      <alignment horizontal="right" vertical="center" wrapText="1"/>
    </xf>
    <xf numFmtId="0" fontId="24" fillId="0" borderId="12"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53" fillId="0" borderId="12" xfId="0" applyFont="1" applyFill="1" applyBorder="1" applyAlignment="1" applyProtection="1">
      <alignment horizontal="left" vertical="center" wrapText="1"/>
    </xf>
    <xf numFmtId="0" fontId="53" fillId="0" borderId="54"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0" fontId="54" fillId="0" borderId="12"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69" fillId="0" borderId="0" xfId="0" applyFont="1" applyAlignment="1" applyProtection="1">
      <alignment horizontal="center" vertical="center"/>
    </xf>
    <xf numFmtId="0" fontId="66" fillId="0" borderId="0" xfId="0" applyFont="1" applyAlignment="1" applyProtection="1">
      <alignment horizontal="left" vertical="top" wrapText="1"/>
    </xf>
    <xf numFmtId="58" fontId="66" fillId="0" borderId="0" xfId="0" applyNumberFormat="1" applyFont="1" applyFill="1" applyBorder="1" applyAlignment="1" applyProtection="1">
      <alignment horizontal="right" vertical="center" indent="1"/>
    </xf>
    <xf numFmtId="0" fontId="19" fillId="0" borderId="0" xfId="0" applyFont="1" applyBorder="1" applyAlignment="1" applyProtection="1">
      <alignment horizontal="center" vertical="center" wrapText="1"/>
    </xf>
    <xf numFmtId="2" fontId="19" fillId="0" borderId="47" xfId="0" applyNumberFormat="1" applyFont="1" applyBorder="1" applyAlignment="1" applyProtection="1">
      <alignment horizontal="right" vertical="center"/>
    </xf>
    <xf numFmtId="2" fontId="19" fillId="0" borderId="66" xfId="0" applyNumberFormat="1" applyFont="1" applyBorder="1" applyAlignment="1" applyProtection="1">
      <alignment horizontal="right" vertical="center"/>
    </xf>
    <xf numFmtId="0" fontId="23" fillId="0" borderId="12" xfId="0" applyFont="1" applyFill="1" applyBorder="1" applyAlignment="1" applyProtection="1">
      <alignment horizontal="left" vertical="center" wrapText="1"/>
    </xf>
    <xf numFmtId="0" fontId="23" fillId="0" borderId="54" xfId="0" applyFont="1" applyFill="1" applyBorder="1" applyAlignment="1" applyProtection="1">
      <alignment horizontal="left"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4" fillId="0" borderId="12"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54" fillId="0" borderId="12" xfId="0" applyFont="1" applyBorder="1" applyAlignment="1" applyProtection="1">
      <alignment horizontal="left" vertical="center" wrapText="1"/>
    </xf>
    <xf numFmtId="0" fontId="54" fillId="0" borderId="24" xfId="0" applyFont="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6" fillId="0" borderId="0" xfId="0" applyFont="1" applyBorder="1" applyAlignment="1" applyProtection="1">
      <alignment horizontal="left" vertical="top" wrapText="1"/>
    </xf>
    <xf numFmtId="0" fontId="26" fillId="0" borderId="22" xfId="0" applyFont="1" applyBorder="1" applyAlignment="1" applyProtection="1">
      <alignment horizontal="left" vertical="top" wrapText="1"/>
    </xf>
    <xf numFmtId="0" fontId="26" fillId="0" borderId="23" xfId="0" applyFont="1" applyBorder="1" applyAlignment="1" applyProtection="1">
      <alignment horizontal="left" vertical="top" wrapText="1"/>
    </xf>
    <xf numFmtId="0" fontId="26" fillId="0" borderId="13" xfId="0" applyFont="1" applyBorder="1" applyAlignment="1" applyProtection="1">
      <alignment horizontal="left" vertical="top" wrapText="1"/>
    </xf>
    <xf numFmtId="0" fontId="57" fillId="0" borderId="23" xfId="0" applyFont="1" applyFill="1" applyBorder="1" applyAlignment="1" applyProtection="1">
      <alignment horizontal="center" vertical="center" wrapText="1"/>
    </xf>
    <xf numFmtId="0" fontId="57" fillId="0" borderId="75" xfId="0" applyFont="1" applyFill="1" applyBorder="1" applyAlignment="1" applyProtection="1">
      <alignment horizontal="center" vertical="center" wrapText="1"/>
    </xf>
    <xf numFmtId="180" fontId="19" fillId="38" borderId="50" xfId="0" applyNumberFormat="1" applyFont="1" applyFill="1" applyBorder="1" applyAlignment="1" applyProtection="1">
      <alignment horizontal="right" vertical="center"/>
    </xf>
    <xf numFmtId="180" fontId="19" fillId="38" borderId="44" xfId="0" applyNumberFormat="1" applyFont="1" applyFill="1" applyBorder="1" applyAlignment="1" applyProtection="1">
      <alignment horizontal="right" vertical="center"/>
    </xf>
    <xf numFmtId="180" fontId="19" fillId="38" borderId="45" xfId="0" applyNumberFormat="1" applyFont="1" applyFill="1" applyBorder="1" applyAlignment="1" applyProtection="1">
      <alignment horizontal="right" vertical="center"/>
    </xf>
    <xf numFmtId="2" fontId="19" fillId="0" borderId="50" xfId="0" applyNumberFormat="1" applyFont="1" applyBorder="1" applyAlignment="1" applyProtection="1">
      <alignment horizontal="right" vertical="center"/>
    </xf>
    <xf numFmtId="2" fontId="19" fillId="0" borderId="44" xfId="0" applyNumberFormat="1" applyFont="1" applyBorder="1" applyAlignment="1" applyProtection="1">
      <alignment horizontal="right" vertical="center"/>
    </xf>
    <xf numFmtId="2" fontId="19" fillId="0" borderId="45" xfId="0" applyNumberFormat="1" applyFont="1" applyBorder="1" applyAlignment="1" applyProtection="1">
      <alignment horizontal="right" vertical="center"/>
    </xf>
    <xf numFmtId="0" fontId="71" fillId="0" borderId="0" xfId="0" applyFont="1" applyFill="1" applyAlignment="1" applyProtection="1">
      <alignment horizontal="left" vertical="center" shrinkToFit="1"/>
    </xf>
    <xf numFmtId="0" fontId="71" fillId="0" borderId="0" xfId="0" applyFont="1" applyFill="1" applyAlignment="1" applyProtection="1">
      <alignment horizontal="left" wrapText="1" shrinkToFit="1"/>
    </xf>
    <xf numFmtId="0" fontId="71" fillId="0" borderId="0" xfId="0" applyFont="1" applyFill="1" applyAlignment="1" applyProtection="1">
      <alignment horizontal="left" shrinkToFit="1"/>
    </xf>
    <xf numFmtId="184" fontId="71" fillId="0" borderId="0" xfId="0" applyNumberFormat="1" applyFont="1" applyFill="1" applyAlignment="1" applyProtection="1">
      <alignment horizontal="left" vertical="top" shrinkToFit="1"/>
    </xf>
    <xf numFmtId="0" fontId="71" fillId="0" borderId="0" xfId="0" applyFont="1" applyAlignment="1" applyProtection="1">
      <alignment horizontal="left" vertical="top" indent="7"/>
    </xf>
    <xf numFmtId="0" fontId="71" fillId="0" borderId="0" xfId="0" applyFont="1" applyAlignment="1" applyProtection="1">
      <alignment horizontal="left" vertical="center" indent="7"/>
    </xf>
    <xf numFmtId="0" fontId="71" fillId="0" borderId="0" xfId="0" applyFont="1" applyAlignment="1" applyProtection="1">
      <alignment horizontal="left" indent="7"/>
    </xf>
    <xf numFmtId="0" fontId="26" fillId="0" borderId="24" xfId="0" applyFont="1" applyFill="1" applyBorder="1" applyAlignment="1" applyProtection="1">
      <alignment horizontal="left" vertical="center" wrapText="1"/>
    </xf>
    <xf numFmtId="0" fontId="22" fillId="0" borderId="12" xfId="0" applyFont="1" applyBorder="1" applyAlignment="1" applyProtection="1">
      <alignment horizontal="center" vertical="center" wrapText="1"/>
    </xf>
    <xf numFmtId="0" fontId="22" fillId="0" borderId="24"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180" fontId="19" fillId="38" borderId="53" xfId="0" applyNumberFormat="1" applyFont="1" applyFill="1" applyBorder="1" applyAlignment="1" applyProtection="1">
      <alignment horizontal="righ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7">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令和６年４月１日以降に入札公告された案件に適用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６</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view="pageBreakPreview" zoomScale="60" zoomScaleNormal="60" workbookViewId="0">
      <selection activeCell="D16" sqref="D16:E16"/>
    </sheetView>
  </sheetViews>
  <sheetFormatPr defaultColWidth="8.88671875" defaultRowHeight="13.2" x14ac:dyDescent="0.2"/>
  <cols>
    <col min="1" max="1" width="2" style="27" customWidth="1"/>
    <col min="2" max="2" width="2.44140625" style="27" customWidth="1"/>
    <col min="3" max="3" width="30.109375" style="27" customWidth="1"/>
    <col min="4" max="5" width="22.33203125" style="27" customWidth="1"/>
    <col min="6" max="6" width="41.77734375" style="27" customWidth="1"/>
    <col min="7" max="7" width="10.44140625" style="27" customWidth="1"/>
    <col min="8" max="8" width="39.44140625" style="27" customWidth="1"/>
    <col min="9" max="9" width="15.109375" style="27" customWidth="1"/>
    <col min="10" max="10" width="17.21875" style="27" customWidth="1"/>
    <col min="11" max="11" width="13.33203125" style="27" customWidth="1"/>
    <col min="12" max="12" width="15.33203125" style="27" customWidth="1"/>
    <col min="13" max="14" width="9.88671875" style="27" customWidth="1"/>
    <col min="15" max="15" width="27.44140625" style="27" customWidth="1"/>
    <col min="16" max="16" width="8.88671875" style="27"/>
    <col min="17" max="17" width="16.88671875" style="27" bestFit="1" customWidth="1"/>
    <col min="18" max="16384" width="8.88671875" style="27"/>
  </cols>
  <sheetData>
    <row r="1" spans="2:10" ht="19.95" customHeight="1" x14ac:dyDescent="0.2">
      <c r="C1" s="304" t="s">
        <v>241</v>
      </c>
      <c r="D1" s="304"/>
      <c r="E1" s="304"/>
      <c r="F1" s="304"/>
      <c r="H1" s="27" t="s">
        <v>402</v>
      </c>
    </row>
    <row r="2" spans="2:10" ht="19.95" customHeight="1" x14ac:dyDescent="0.2">
      <c r="C2" s="165" t="s">
        <v>311</v>
      </c>
    </row>
    <row r="3" spans="2:10" ht="19.95" customHeight="1" x14ac:dyDescent="0.2">
      <c r="B3" s="28"/>
      <c r="C3" s="164" t="s">
        <v>313</v>
      </c>
    </row>
    <row r="4" spans="2:10" ht="30" customHeight="1" x14ac:dyDescent="0.2">
      <c r="B4" s="28"/>
      <c r="C4" s="154" t="s">
        <v>299</v>
      </c>
      <c r="D4" s="296" t="s">
        <v>319</v>
      </c>
      <c r="E4" s="297"/>
      <c r="F4" s="154" t="s">
        <v>293</v>
      </c>
      <c r="H4" s="177" t="s">
        <v>318</v>
      </c>
    </row>
    <row r="5" spans="2:10" ht="30" customHeight="1" x14ac:dyDescent="0.2">
      <c r="B5" s="28"/>
      <c r="C5" s="57" t="s">
        <v>287</v>
      </c>
      <c r="D5" s="298" t="s">
        <v>294</v>
      </c>
      <c r="E5" s="299"/>
      <c r="F5" s="152"/>
      <c r="H5" s="13" t="str">
        <f t="shared" ref="H5:H10" si="0">D5</f>
        <v>令和○年○月○日</v>
      </c>
    </row>
    <row r="6" spans="2:10" ht="30" customHeight="1" x14ac:dyDescent="0.2">
      <c r="B6" s="28"/>
      <c r="C6" s="57" t="s">
        <v>288</v>
      </c>
      <c r="D6" s="300" t="s">
        <v>314</v>
      </c>
      <c r="E6" s="301"/>
      <c r="F6" s="57" t="s">
        <v>296</v>
      </c>
      <c r="H6" s="13" t="str">
        <f t="shared" si="0"/>
        <v>○○市○○町○○番地</v>
      </c>
    </row>
    <row r="7" spans="2:10" ht="30" customHeight="1" x14ac:dyDescent="0.2">
      <c r="B7" s="28"/>
      <c r="C7" s="57" t="s">
        <v>289</v>
      </c>
      <c r="D7" s="302" t="s">
        <v>280</v>
      </c>
      <c r="E7" s="303"/>
      <c r="F7" s="57" t="s">
        <v>301</v>
      </c>
      <c r="H7" s="13" t="str">
        <f t="shared" si="0"/>
        <v>株式会社○○○○</v>
      </c>
    </row>
    <row r="8" spans="2:10" ht="30" customHeight="1" x14ac:dyDescent="0.2">
      <c r="B8" s="28"/>
      <c r="C8" s="57" t="s">
        <v>290</v>
      </c>
      <c r="D8" s="300" t="s">
        <v>297</v>
      </c>
      <c r="E8" s="301"/>
      <c r="F8" s="57" t="s">
        <v>301</v>
      </c>
      <c r="H8" s="13" t="str">
        <f t="shared" si="0"/>
        <v>代表取締役　○○○○</v>
      </c>
    </row>
    <row r="9" spans="2:10" ht="30" customHeight="1" x14ac:dyDescent="0.2">
      <c r="B9" s="28"/>
      <c r="C9" s="57" t="s">
        <v>291</v>
      </c>
      <c r="D9" s="300" t="s">
        <v>312</v>
      </c>
      <c r="E9" s="301"/>
      <c r="F9" s="57" t="s">
        <v>301</v>
      </c>
      <c r="H9" s="13" t="str">
        <f t="shared" si="0"/>
        <v>000-000-0000</v>
      </c>
    </row>
    <row r="10" spans="2:10" ht="30" customHeight="1" x14ac:dyDescent="0.2">
      <c r="B10" s="28"/>
      <c r="C10" s="57" t="s">
        <v>292</v>
      </c>
      <c r="D10" s="300" t="s">
        <v>298</v>
      </c>
      <c r="E10" s="301"/>
      <c r="F10" s="57" t="s">
        <v>301</v>
      </c>
      <c r="H10" s="13" t="str">
        <f t="shared" si="0"/>
        <v>○○○○</v>
      </c>
    </row>
    <row r="11" spans="2:10" ht="30" customHeight="1" x14ac:dyDescent="0.2">
      <c r="B11" s="28"/>
      <c r="C11" s="57" t="s">
        <v>295</v>
      </c>
      <c r="D11" s="300" t="s">
        <v>324</v>
      </c>
      <c r="E11" s="301"/>
      <c r="F11" s="271" t="s">
        <v>317</v>
      </c>
      <c r="H11" s="13" t="str">
        <f>D11</f>
        <v>○○・△△特定建設工事共同企業体</v>
      </c>
    </row>
    <row r="12" spans="2:10" s="12" customFormat="1" ht="30" customHeight="1" x14ac:dyDescent="0.2">
      <c r="C12" s="154" t="s">
        <v>300</v>
      </c>
      <c r="D12" s="296" t="s">
        <v>320</v>
      </c>
      <c r="E12" s="297"/>
      <c r="F12" s="154" t="s">
        <v>133</v>
      </c>
      <c r="H12" s="177" t="s">
        <v>323</v>
      </c>
    </row>
    <row r="13" spans="2:10" s="29" customFormat="1" ht="30" customHeight="1" x14ac:dyDescent="0.2">
      <c r="C13" s="166" t="s">
        <v>132</v>
      </c>
      <c r="D13" s="298" t="s">
        <v>294</v>
      </c>
      <c r="E13" s="299"/>
      <c r="F13" s="292" t="s">
        <v>394</v>
      </c>
      <c r="G13" s="31"/>
      <c r="H13" s="13" t="str">
        <f t="shared" ref="H13:H15" si="1">D13</f>
        <v>令和○年○月○日</v>
      </c>
      <c r="I13" s="14"/>
      <c r="J13" s="14"/>
    </row>
    <row r="14" spans="2:10" s="29" customFormat="1" ht="30" customHeight="1" x14ac:dyDescent="0.2">
      <c r="C14" s="30" t="s">
        <v>130</v>
      </c>
      <c r="D14" s="307" t="s">
        <v>242</v>
      </c>
      <c r="E14" s="308"/>
      <c r="F14" s="292" t="s">
        <v>395</v>
      </c>
      <c r="G14" s="31"/>
      <c r="H14" s="13" t="str">
        <f>D14</f>
        <v xml:space="preserve">第○○-○○○○○-○○○○号 </v>
      </c>
      <c r="I14" s="14"/>
      <c r="J14" s="14"/>
    </row>
    <row r="15" spans="2:10" s="29" customFormat="1" ht="30" customHeight="1" x14ac:dyDescent="0.2">
      <c r="C15" s="32" t="s">
        <v>131</v>
      </c>
      <c r="D15" s="311" t="s">
        <v>316</v>
      </c>
      <c r="E15" s="312"/>
      <c r="F15" s="293" t="s">
        <v>396</v>
      </c>
      <c r="G15" s="31"/>
      <c r="H15" s="13" t="str">
        <f t="shared" si="1"/>
        <v>○○○○○○○○○○○○工事</v>
      </c>
      <c r="I15" s="14"/>
      <c r="J15" s="14"/>
    </row>
    <row r="16" spans="2:10" s="12" customFormat="1" ht="30" customHeight="1" x14ac:dyDescent="0.2">
      <c r="C16" s="33" t="s">
        <v>236</v>
      </c>
      <c r="D16" s="309" t="s">
        <v>122</v>
      </c>
      <c r="E16" s="310"/>
      <c r="F16" s="178" t="s">
        <v>321</v>
      </c>
      <c r="H16" s="15">
        <f>IF(OR(D16="一般土木工事",D16="舗装工事"),1,IF(OR(D16="建築工事",D16="電気設備工事",D16="暖冷房衛生設備工事"),2,10))</f>
        <v>1</v>
      </c>
      <c r="I16" s="12" t="s">
        <v>384</v>
      </c>
    </row>
    <row r="17" spans="3:9" s="12" customFormat="1" ht="30" customHeight="1" x14ac:dyDescent="0.2">
      <c r="C17" s="32" t="s">
        <v>192</v>
      </c>
      <c r="D17" s="302"/>
      <c r="E17" s="303"/>
      <c r="F17" s="178"/>
      <c r="H17" s="15" t="e">
        <f>VLOOKUP(D17,リスト2!G3:I6,3,FALSE)</f>
        <v>#N/A</v>
      </c>
      <c r="I17" s="12" t="s">
        <v>229</v>
      </c>
    </row>
    <row r="18" spans="3:9" s="12" customFormat="1" ht="30" customHeight="1" x14ac:dyDescent="0.2">
      <c r="C18" s="305" t="s">
        <v>237</v>
      </c>
      <c r="D18" s="34" t="s">
        <v>120</v>
      </c>
      <c r="E18" s="34" t="s">
        <v>126</v>
      </c>
      <c r="F18" s="305" t="s">
        <v>322</v>
      </c>
    </row>
    <row r="19" spans="3:9" s="12" customFormat="1" ht="30" customHeight="1" x14ac:dyDescent="0.2">
      <c r="C19" s="306"/>
      <c r="D19" s="153" t="s">
        <v>169</v>
      </c>
      <c r="E19" s="153" t="s">
        <v>169</v>
      </c>
      <c r="F19" s="306"/>
    </row>
    <row r="20" spans="3:9" s="12" customFormat="1" ht="30" customHeight="1" x14ac:dyDescent="0.2">
      <c r="C20" s="35" t="s">
        <v>128</v>
      </c>
      <c r="D20" s="36" t="str">
        <f>VLOOKUP(D19,リスト2!$C$3:$E$64,2,FALSE)</f>
        <v>-</v>
      </c>
      <c r="E20" s="36" t="str">
        <f>VLOOKUP(E19,リスト2!$C$3:$E$64,2,FALSE)</f>
        <v>-</v>
      </c>
      <c r="F20" s="36" t="s">
        <v>235</v>
      </c>
    </row>
    <row r="21" spans="3:9" s="12" customFormat="1" ht="30" customHeight="1" x14ac:dyDescent="0.2">
      <c r="C21" s="35" t="s">
        <v>129</v>
      </c>
      <c r="D21" s="36" t="str">
        <f>VLOOKUP(D19,リスト2!$C$3:$E$64,3,FALSE)</f>
        <v>-</v>
      </c>
      <c r="E21" s="36" t="str">
        <f>VLOOKUP(E19,リスト2!$C$3:$E$64,3,FALSE)</f>
        <v>-</v>
      </c>
      <c r="F21" s="36" t="s">
        <v>127</v>
      </c>
    </row>
    <row r="22" spans="3:9" s="12" customFormat="1" ht="30" customHeight="1" x14ac:dyDescent="0.2">
      <c r="F22" s="156" t="s">
        <v>234</v>
      </c>
    </row>
    <row r="23" spans="3:9" s="12" customFormat="1" ht="30" customHeight="1" x14ac:dyDescent="0.2">
      <c r="C23" s="36" t="s">
        <v>124</v>
      </c>
      <c r="D23" s="37" t="e">
        <f>'2.様式第1号、第11号-1(特別簡易型)'!V47</f>
        <v>#N/A</v>
      </c>
      <c r="E23" s="36" t="s">
        <v>125</v>
      </c>
      <c r="F23" s="155" t="s">
        <v>302</v>
      </c>
    </row>
    <row r="24" spans="3:9" s="12" customFormat="1" ht="20.100000000000001" customHeight="1" x14ac:dyDescent="0.2"/>
    <row r="25" spans="3:9" s="12" customFormat="1" x14ac:dyDescent="0.2"/>
    <row r="26" spans="3:9" s="12" customFormat="1" x14ac:dyDescent="0.2"/>
    <row r="27" spans="3:9" s="12" customFormat="1" x14ac:dyDescent="0.2"/>
    <row r="28" spans="3:9" s="12" customFormat="1" x14ac:dyDescent="0.2"/>
    <row r="29" spans="3:9" s="12" customFormat="1" x14ac:dyDescent="0.2"/>
    <row r="30" spans="3:9" s="12" customFormat="1" x14ac:dyDescent="0.2"/>
    <row r="31" spans="3:9" s="12" customFormat="1" x14ac:dyDescent="0.2"/>
    <row r="32" spans="3:9" s="12" customFormat="1" x14ac:dyDescent="0.2"/>
    <row r="33" s="12" customFormat="1" x14ac:dyDescent="0.2"/>
  </sheetData>
  <sheetProtection password="F450" sheet="1" objects="1" scenarios="1"/>
  <mergeCells count="17">
    <mergeCell ref="F18:F19"/>
    <mergeCell ref="C18:C19"/>
    <mergeCell ref="D13:E13"/>
    <mergeCell ref="D14:E14"/>
    <mergeCell ref="D8:E8"/>
    <mergeCell ref="D9:E9"/>
    <mergeCell ref="D10:E10"/>
    <mergeCell ref="D11:E11"/>
    <mergeCell ref="D12:E12"/>
    <mergeCell ref="D16:E16"/>
    <mergeCell ref="D15:E15"/>
    <mergeCell ref="D17:E17"/>
    <mergeCell ref="D4:E4"/>
    <mergeCell ref="D5:E5"/>
    <mergeCell ref="D6:E6"/>
    <mergeCell ref="D7:E7"/>
    <mergeCell ref="C1:F1"/>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リスト2!$C$3:$C$64</xm:f>
          </x14:formula1>
          <xm:sqref>D19:E19</xm:sqref>
        </x14:dataValidation>
        <x14:dataValidation type="list" allowBlank="1" showInputMessage="1" showErrorMessage="1">
          <x14:formula1>
            <xm:f>リスト!$H$4:$H$22</xm:f>
          </x14:formula1>
          <xm:sqref>D16:E16</xm:sqref>
        </x14:dataValidation>
        <x14:dataValidation type="list" allowBlank="1" showInputMessage="1" showErrorMessage="1">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
  <sheetViews>
    <sheetView showGridLines="0" tabSelected="1" view="pageBreakPreview" zoomScale="60" zoomScaleNormal="60" workbookViewId="0">
      <selection activeCell="E49" sqref="E49:R49"/>
    </sheetView>
  </sheetViews>
  <sheetFormatPr defaultColWidth="8.88671875" defaultRowHeight="13.2" x14ac:dyDescent="0.2"/>
  <cols>
    <col min="1" max="1" width="2" style="27" customWidth="1"/>
    <col min="2" max="3" width="3.44140625" style="27" customWidth="1"/>
    <col min="4" max="4" width="13" style="27" customWidth="1"/>
    <col min="5" max="6" width="7.21875" style="27" customWidth="1"/>
    <col min="7" max="7" width="19.21875" style="27" customWidth="1"/>
    <col min="8" max="8" width="4.44140625" style="27" customWidth="1"/>
    <col min="9" max="9" width="3.44140625" style="27" customWidth="1"/>
    <col min="10" max="10" width="4.21875" style="27" customWidth="1"/>
    <col min="11" max="17" width="3.44140625" style="27" customWidth="1"/>
    <col min="18" max="18" width="11.88671875" style="27" customWidth="1"/>
    <col min="19" max="19" width="16.6640625" style="27" customWidth="1"/>
    <col min="20" max="21" width="9" style="27" customWidth="1"/>
    <col min="22" max="22" width="25" style="27" customWidth="1"/>
    <col min="23" max="23" width="10.6640625" style="27" customWidth="1"/>
    <col min="24" max="24" width="14" style="27" customWidth="1"/>
    <col min="25" max="26" width="9" style="27" customWidth="1"/>
    <col min="27" max="29" width="9.44140625" style="27" customWidth="1"/>
    <col min="30" max="30" width="10.33203125" style="27" customWidth="1"/>
    <col min="31" max="31" width="11.6640625" style="27" customWidth="1"/>
    <col min="32" max="32" width="11.77734375" style="27" customWidth="1"/>
    <col min="33" max="33" width="9.44140625" style="27" customWidth="1"/>
    <col min="34" max="34" width="12.88671875" style="27" customWidth="1"/>
    <col min="35" max="35" width="8.88671875" style="27"/>
    <col min="36" max="36" width="12.88671875" style="27" customWidth="1"/>
    <col min="37" max="37" width="12.77734375" style="27" customWidth="1"/>
    <col min="38" max="38" width="12.21875" style="27" customWidth="1"/>
    <col min="39" max="39" width="11.44140625" style="27" customWidth="1"/>
    <col min="40" max="41" width="8.88671875" style="27"/>
    <col min="42" max="42" width="11.6640625" style="27" customWidth="1"/>
    <col min="43" max="43" width="12.109375" style="27" customWidth="1"/>
    <col min="44" max="44" width="11.21875" style="27" customWidth="1"/>
    <col min="45" max="45" width="12.33203125" style="27" customWidth="1"/>
    <col min="46" max="16384" width="8.88671875" style="27"/>
  </cols>
  <sheetData>
    <row r="1" spans="1:19" ht="15" customHeight="1" x14ac:dyDescent="0.2">
      <c r="S1" s="232" t="str">
        <f>'1.基本データ(このシートは削除しないこと！)'!H1</f>
        <v>令和６年度様式（令和６年４月１日以降の入札公告から適用）</v>
      </c>
    </row>
    <row r="2" spans="1:19" s="223" customFormat="1" ht="15" customHeight="1" x14ac:dyDescent="0.2"/>
    <row r="3" spans="1:19" s="223" customFormat="1" ht="15" customHeight="1" x14ac:dyDescent="0.2"/>
    <row r="4" spans="1:19" s="223" customFormat="1" ht="19.95" customHeight="1" x14ac:dyDescent="0.2">
      <c r="C4" s="227" t="s">
        <v>373</v>
      </c>
    </row>
    <row r="5" spans="1:19" s="223" customFormat="1" ht="38.4" customHeight="1" x14ac:dyDescent="0.2">
      <c r="A5" s="489" t="s">
        <v>372</v>
      </c>
      <c r="B5" s="489"/>
      <c r="C5" s="489"/>
      <c r="D5" s="489"/>
      <c r="E5" s="489"/>
      <c r="F5" s="489"/>
      <c r="G5" s="489"/>
      <c r="H5" s="489"/>
      <c r="I5" s="489"/>
      <c r="J5" s="489"/>
      <c r="K5" s="489"/>
      <c r="L5" s="489"/>
      <c r="M5" s="489"/>
      <c r="N5" s="489"/>
      <c r="O5" s="489"/>
      <c r="P5" s="489"/>
      <c r="Q5" s="489"/>
      <c r="R5" s="489"/>
      <c r="S5" s="489"/>
    </row>
    <row r="6" spans="1:19" s="223" customFormat="1" ht="19.95" customHeight="1" x14ac:dyDescent="0.2">
      <c r="A6" s="185"/>
      <c r="B6" s="234"/>
      <c r="C6" s="227"/>
      <c r="D6" s="227"/>
      <c r="E6" s="227"/>
      <c r="F6" s="227"/>
      <c r="G6" s="227"/>
      <c r="H6" s="227"/>
      <c r="I6" s="227"/>
      <c r="J6" s="227"/>
      <c r="K6" s="227"/>
      <c r="L6" s="227"/>
      <c r="M6" s="227"/>
      <c r="N6" s="227"/>
      <c r="O6" s="238"/>
      <c r="P6" s="238"/>
      <c r="Q6" s="491"/>
      <c r="R6" s="491"/>
      <c r="S6" s="491"/>
    </row>
    <row r="7" spans="1:19" s="223" customFormat="1" ht="19.95" customHeight="1" x14ac:dyDescent="0.2">
      <c r="A7" s="186"/>
      <c r="B7" s="229"/>
      <c r="C7" s="234"/>
      <c r="D7" s="234"/>
      <c r="E7" s="227"/>
      <c r="F7" s="227"/>
      <c r="G7" s="227"/>
      <c r="H7" s="227"/>
      <c r="I7" s="227"/>
      <c r="J7" s="227"/>
      <c r="K7" s="227"/>
      <c r="L7" s="227"/>
      <c r="M7" s="227"/>
      <c r="N7" s="227"/>
      <c r="O7" s="227"/>
      <c r="P7" s="227"/>
      <c r="Q7" s="227"/>
      <c r="R7" s="227"/>
      <c r="S7" s="227"/>
    </row>
    <row r="8" spans="1:19" s="223" customFormat="1" ht="19.95" customHeight="1" x14ac:dyDescent="0.2">
      <c r="B8" s="226"/>
      <c r="C8" s="226" t="s">
        <v>14</v>
      </c>
      <c r="D8" s="226"/>
      <c r="E8" s="227"/>
      <c r="F8" s="227"/>
      <c r="G8" s="227"/>
      <c r="H8" s="227"/>
      <c r="I8" s="227"/>
      <c r="J8" s="227"/>
      <c r="K8" s="227"/>
      <c r="L8" s="227"/>
      <c r="M8" s="227"/>
      <c r="N8" s="227"/>
      <c r="O8" s="227"/>
      <c r="P8" s="227"/>
      <c r="Q8" s="227"/>
      <c r="R8" s="227"/>
      <c r="S8" s="227"/>
    </row>
    <row r="9" spans="1:19" s="223" customFormat="1" ht="19.95" customHeight="1" x14ac:dyDescent="0.2">
      <c r="A9" s="186"/>
      <c r="B9" s="229"/>
      <c r="C9" s="234"/>
      <c r="D9" s="234"/>
      <c r="E9" s="227"/>
      <c r="F9" s="227"/>
      <c r="G9" s="227"/>
      <c r="H9" s="227"/>
      <c r="I9" s="227"/>
      <c r="J9" s="227"/>
      <c r="K9" s="227"/>
      <c r="L9" s="227"/>
      <c r="M9" s="227"/>
      <c r="N9" s="227"/>
      <c r="O9" s="227"/>
      <c r="P9" s="227"/>
      <c r="Q9" s="227"/>
      <c r="R9" s="227"/>
      <c r="S9" s="227"/>
    </row>
    <row r="10" spans="1:19" s="223" customFormat="1" ht="25.05" customHeight="1" x14ac:dyDescent="0.2">
      <c r="A10" s="186"/>
      <c r="B10" s="234"/>
      <c r="C10" s="227"/>
      <c r="D10" s="227"/>
      <c r="E10" s="227"/>
      <c r="F10" s="227"/>
      <c r="G10" s="227"/>
      <c r="H10" s="227"/>
      <c r="I10" s="227"/>
      <c r="J10" s="227"/>
      <c r="K10" s="227"/>
      <c r="L10" s="517" t="str">
        <f>IF('1.基本データ(このシートは削除しないこと！)'!H11=0,"",'1.基本データ(このシートは削除しないこと！)'!H11)</f>
        <v>○○・△△特定建設工事共同企業体</v>
      </c>
      <c r="M10" s="517"/>
      <c r="N10" s="517"/>
      <c r="O10" s="517"/>
      <c r="P10" s="517"/>
      <c r="Q10" s="517"/>
      <c r="R10" s="517"/>
      <c r="S10" s="517"/>
    </row>
    <row r="11" spans="1:19" s="223" customFormat="1" ht="25.05" customHeight="1" x14ac:dyDescent="0.2">
      <c r="B11" s="227"/>
      <c r="C11" s="227"/>
      <c r="D11" s="227"/>
      <c r="E11" s="227"/>
      <c r="F11" s="227"/>
      <c r="G11" s="227"/>
      <c r="H11" s="227"/>
      <c r="I11" s="227"/>
      <c r="J11" s="227"/>
      <c r="K11" s="228" t="str">
        <f>IF('1.基本データ(このシートは削除しないこと！)'!H11=0," ","代表構成員")</f>
        <v>代表構成員</v>
      </c>
      <c r="L11" s="518" t="str">
        <f>'1.基本データ(このシートは削除しないこと！)'!H6</f>
        <v>○○市○○町○○番地</v>
      </c>
      <c r="M11" s="518"/>
      <c r="N11" s="518"/>
      <c r="O11" s="518"/>
      <c r="P11" s="518"/>
      <c r="Q11" s="518"/>
      <c r="R11" s="518"/>
      <c r="S11" s="518"/>
    </row>
    <row r="12" spans="1:19" s="223" customFormat="1" ht="25.05" customHeight="1" x14ac:dyDescent="0.25">
      <c r="A12" s="185"/>
      <c r="B12" s="227"/>
      <c r="C12" s="227"/>
      <c r="D12" s="227"/>
      <c r="E12" s="227"/>
      <c r="F12" s="227"/>
      <c r="G12" s="523" t="s">
        <v>374</v>
      </c>
      <c r="H12" s="523"/>
      <c r="I12" s="523"/>
      <c r="J12" s="523"/>
      <c r="K12" s="523"/>
      <c r="L12" s="518"/>
      <c r="M12" s="518"/>
      <c r="N12" s="518"/>
      <c r="O12" s="518"/>
      <c r="P12" s="518"/>
      <c r="Q12" s="518"/>
      <c r="R12" s="518"/>
      <c r="S12" s="518"/>
    </row>
    <row r="13" spans="1:19" s="223" customFormat="1" ht="25.05" customHeight="1" x14ac:dyDescent="0.25">
      <c r="A13" s="185"/>
      <c r="B13" s="227"/>
      <c r="C13" s="227"/>
      <c r="D13" s="227"/>
      <c r="E13" s="227"/>
      <c r="F13" s="227"/>
      <c r="G13" s="523" t="s">
        <v>5</v>
      </c>
      <c r="H13" s="523"/>
      <c r="I13" s="523"/>
      <c r="J13" s="523"/>
      <c r="K13" s="523"/>
      <c r="L13" s="519" t="str">
        <f>'1.基本データ(このシートは削除しないこと！)'!H7</f>
        <v>株式会社○○○○</v>
      </c>
      <c r="M13" s="519"/>
      <c r="N13" s="519"/>
      <c r="O13" s="519"/>
      <c r="P13" s="519"/>
      <c r="Q13" s="519"/>
      <c r="R13" s="519"/>
      <c r="S13" s="519"/>
    </row>
    <row r="14" spans="1:19" s="223" customFormat="1" ht="25.05" customHeight="1" x14ac:dyDescent="0.25">
      <c r="A14" s="185"/>
      <c r="B14" s="227"/>
      <c r="C14" s="227"/>
      <c r="D14" s="227"/>
      <c r="E14" s="227"/>
      <c r="F14" s="227"/>
      <c r="G14" s="523" t="s">
        <v>12</v>
      </c>
      <c r="H14" s="523"/>
      <c r="I14" s="523"/>
      <c r="J14" s="523"/>
      <c r="K14" s="523"/>
      <c r="L14" s="519" t="str">
        <f>'1.基本データ(このシートは削除しないこと！)'!H8</f>
        <v>代表取締役　○○○○</v>
      </c>
      <c r="M14" s="519"/>
      <c r="N14" s="519"/>
      <c r="O14" s="519"/>
      <c r="P14" s="519"/>
      <c r="Q14" s="519"/>
      <c r="R14" s="519"/>
      <c r="S14" s="519"/>
    </row>
    <row r="15" spans="1:19" s="223" customFormat="1" ht="25.05" customHeight="1" x14ac:dyDescent="0.2">
      <c r="A15" s="185"/>
      <c r="B15" s="230"/>
      <c r="C15" s="231"/>
      <c r="D15" s="234"/>
      <c r="E15" s="227"/>
      <c r="F15" s="227"/>
      <c r="G15" s="233"/>
      <c r="H15" s="233"/>
      <c r="I15" s="233"/>
      <c r="J15" s="233"/>
      <c r="K15" s="233"/>
      <c r="L15" s="233"/>
      <c r="M15" s="233"/>
      <c r="N15" s="233"/>
      <c r="O15" s="233"/>
      <c r="P15" s="233"/>
      <c r="Q15" s="233"/>
      <c r="R15" s="233"/>
      <c r="S15" s="233"/>
    </row>
    <row r="16" spans="1:19" s="223" customFormat="1" ht="25.05" customHeight="1" x14ac:dyDescent="0.2">
      <c r="A16" s="185"/>
      <c r="B16" s="227"/>
      <c r="C16" s="227"/>
      <c r="D16" s="234"/>
      <c r="E16" s="227"/>
      <c r="F16" s="227"/>
      <c r="G16" s="522" t="s">
        <v>6</v>
      </c>
      <c r="H16" s="522"/>
      <c r="I16" s="522"/>
      <c r="J16" s="522"/>
      <c r="K16" s="522"/>
      <c r="L16" s="517" t="str">
        <f>'1.基本データ(このシートは削除しないこと！)'!H9</f>
        <v>000-000-0000</v>
      </c>
      <c r="M16" s="517"/>
      <c r="N16" s="517"/>
      <c r="O16" s="517"/>
      <c r="P16" s="517"/>
      <c r="Q16" s="517"/>
      <c r="R16" s="517"/>
      <c r="S16" s="517"/>
    </row>
    <row r="17" spans="1:19" s="223" customFormat="1" ht="25.05" customHeight="1" x14ac:dyDescent="0.2">
      <c r="A17" s="185"/>
      <c r="B17" s="227"/>
      <c r="C17" s="227"/>
      <c r="D17" s="234"/>
      <c r="E17" s="227"/>
      <c r="F17" s="227"/>
      <c r="G17" s="521" t="s">
        <v>13</v>
      </c>
      <c r="H17" s="521"/>
      <c r="I17" s="521"/>
      <c r="J17" s="521"/>
      <c r="K17" s="521"/>
      <c r="L17" s="520" t="str">
        <f>'1.基本データ(このシートは削除しないこと！)'!H10</f>
        <v>○○○○</v>
      </c>
      <c r="M17" s="520"/>
      <c r="N17" s="520"/>
      <c r="O17" s="520"/>
      <c r="P17" s="520"/>
      <c r="Q17" s="520"/>
      <c r="R17" s="520"/>
      <c r="S17" s="520"/>
    </row>
    <row r="18" spans="1:19" s="223" customFormat="1" ht="19.95" customHeight="1" x14ac:dyDescent="0.2">
      <c r="A18" s="186"/>
      <c r="B18" s="229"/>
      <c r="C18" s="234"/>
      <c r="D18" s="234"/>
      <c r="E18" s="227"/>
      <c r="F18" s="227"/>
      <c r="G18" s="227"/>
      <c r="H18" s="227"/>
      <c r="I18" s="227"/>
      <c r="J18" s="227"/>
      <c r="K18" s="227"/>
      <c r="L18" s="227"/>
      <c r="M18" s="227"/>
      <c r="N18" s="227"/>
      <c r="O18" s="227"/>
      <c r="P18" s="227"/>
      <c r="Q18" s="227"/>
      <c r="R18" s="227"/>
      <c r="S18" s="227"/>
    </row>
    <row r="19" spans="1:19" s="223" customFormat="1" ht="19.95" customHeight="1" x14ac:dyDescent="0.2">
      <c r="B19" s="227"/>
      <c r="C19" s="227"/>
      <c r="D19" s="227"/>
      <c r="E19" s="227"/>
      <c r="F19" s="227"/>
      <c r="G19" s="227"/>
      <c r="H19" s="227"/>
      <c r="I19" s="227"/>
      <c r="J19" s="227"/>
      <c r="K19" s="227"/>
      <c r="L19" s="227"/>
      <c r="M19" s="227"/>
      <c r="N19" s="227"/>
      <c r="O19" s="227"/>
      <c r="P19" s="227"/>
      <c r="Q19" s="227"/>
      <c r="R19" s="227"/>
      <c r="S19" s="227"/>
    </row>
    <row r="20" spans="1:19" s="223" customFormat="1" ht="19.95" customHeight="1" x14ac:dyDescent="0.2">
      <c r="B20" s="227"/>
      <c r="C20" s="4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490"/>
      <c r="E20" s="490"/>
      <c r="F20" s="490"/>
      <c r="G20" s="490"/>
      <c r="H20" s="490"/>
      <c r="I20" s="490"/>
      <c r="J20" s="490"/>
      <c r="K20" s="490"/>
      <c r="L20" s="490"/>
      <c r="M20" s="490"/>
      <c r="N20" s="490"/>
      <c r="O20" s="490"/>
      <c r="P20" s="490"/>
      <c r="Q20" s="490"/>
      <c r="R20" s="490"/>
      <c r="S20" s="490"/>
    </row>
    <row r="21" spans="1:19" s="223" customFormat="1" ht="19.95" customHeight="1" x14ac:dyDescent="0.2">
      <c r="B21" s="227"/>
      <c r="C21" s="490"/>
      <c r="D21" s="490"/>
      <c r="E21" s="490"/>
      <c r="F21" s="490"/>
      <c r="G21" s="490"/>
      <c r="H21" s="490"/>
      <c r="I21" s="490"/>
      <c r="J21" s="490"/>
      <c r="K21" s="490"/>
      <c r="L21" s="490"/>
      <c r="M21" s="490"/>
      <c r="N21" s="490"/>
      <c r="O21" s="490"/>
      <c r="P21" s="490"/>
      <c r="Q21" s="490"/>
      <c r="R21" s="490"/>
      <c r="S21" s="490"/>
    </row>
    <row r="22" spans="1:19" s="223" customFormat="1" ht="19.95" customHeight="1" x14ac:dyDescent="0.2">
      <c r="B22" s="227"/>
      <c r="C22" s="490"/>
      <c r="D22" s="490"/>
      <c r="E22" s="490"/>
      <c r="F22" s="490"/>
      <c r="G22" s="490"/>
      <c r="H22" s="490"/>
      <c r="I22" s="490"/>
      <c r="J22" s="490"/>
      <c r="K22" s="490"/>
      <c r="L22" s="490"/>
      <c r="M22" s="490"/>
      <c r="N22" s="490"/>
      <c r="O22" s="490"/>
      <c r="P22" s="490"/>
      <c r="Q22" s="490"/>
      <c r="R22" s="490"/>
      <c r="S22" s="490"/>
    </row>
    <row r="23" spans="1:19" s="223" customFormat="1" ht="19.95" customHeight="1" x14ac:dyDescent="0.2">
      <c r="B23" s="227"/>
      <c r="C23" s="490"/>
      <c r="D23" s="490"/>
      <c r="E23" s="490"/>
      <c r="F23" s="490"/>
      <c r="G23" s="490"/>
      <c r="H23" s="490"/>
      <c r="I23" s="490"/>
      <c r="J23" s="490"/>
      <c r="K23" s="490"/>
      <c r="L23" s="490"/>
      <c r="M23" s="490"/>
      <c r="N23" s="490"/>
      <c r="O23" s="490"/>
      <c r="P23" s="490"/>
      <c r="Q23" s="490"/>
      <c r="R23" s="490"/>
      <c r="S23" s="490"/>
    </row>
    <row r="24" spans="1:19" s="223" customFormat="1" ht="19.95" customHeight="1" x14ac:dyDescent="0.2">
      <c r="B24" s="227"/>
      <c r="C24" s="490"/>
      <c r="D24" s="490"/>
      <c r="E24" s="490"/>
      <c r="F24" s="490"/>
      <c r="G24" s="490"/>
      <c r="H24" s="490"/>
      <c r="I24" s="490"/>
      <c r="J24" s="490"/>
      <c r="K24" s="490"/>
      <c r="L24" s="490"/>
      <c r="M24" s="490"/>
      <c r="N24" s="490"/>
      <c r="O24" s="490"/>
      <c r="P24" s="490"/>
      <c r="Q24" s="490"/>
      <c r="R24" s="490"/>
      <c r="S24" s="490"/>
    </row>
    <row r="25" spans="1:19" s="223" customFormat="1" ht="19.95" customHeight="1" x14ac:dyDescent="0.2">
      <c r="B25" s="227"/>
      <c r="C25" s="227"/>
      <c r="D25" s="227"/>
      <c r="E25" s="227"/>
      <c r="F25" s="227"/>
      <c r="G25" s="227"/>
      <c r="H25" s="227"/>
      <c r="I25" s="227"/>
      <c r="J25" s="227"/>
      <c r="K25" s="227"/>
      <c r="L25" s="227"/>
      <c r="M25" s="227"/>
      <c r="N25" s="227"/>
      <c r="O25" s="227"/>
      <c r="P25" s="227"/>
      <c r="Q25" s="227"/>
      <c r="R25" s="227"/>
      <c r="S25" s="227"/>
    </row>
    <row r="26" spans="1:19" s="225" customFormat="1" ht="22.95" customHeight="1" x14ac:dyDescent="0.2">
      <c r="B26" s="227"/>
      <c r="C26" s="230" t="s">
        <v>375</v>
      </c>
      <c r="D26" s="230"/>
      <c r="E26" s="230"/>
      <c r="F26" s="230"/>
      <c r="G26" s="235"/>
      <c r="H26" s="235"/>
      <c r="I26" s="235"/>
      <c r="J26" s="235"/>
      <c r="K26" s="235"/>
      <c r="L26" s="235"/>
      <c r="M26" s="235"/>
      <c r="N26" s="235"/>
      <c r="O26" s="235"/>
      <c r="P26" s="235"/>
      <c r="Q26" s="235"/>
      <c r="R26" s="235"/>
      <c r="S26" s="235"/>
    </row>
    <row r="27" spans="1:19" s="225" customFormat="1" ht="22.95" customHeight="1" x14ac:dyDescent="0.2">
      <c r="B27" s="227"/>
      <c r="C27" s="230" t="s">
        <v>376</v>
      </c>
      <c r="D27" s="230"/>
      <c r="E27" s="230"/>
      <c r="F27" s="230"/>
      <c r="G27" s="235"/>
      <c r="H27" s="235"/>
      <c r="I27" s="235"/>
      <c r="J27" s="235"/>
      <c r="K27" s="235"/>
      <c r="L27" s="235"/>
      <c r="M27" s="235"/>
      <c r="N27" s="235"/>
      <c r="O27" s="235"/>
      <c r="P27" s="235"/>
      <c r="Q27" s="235"/>
      <c r="R27" s="235"/>
      <c r="S27" s="235"/>
    </row>
    <row r="28" spans="1:19" s="225" customFormat="1" ht="22.95" customHeight="1" x14ac:dyDescent="0.2">
      <c r="B28" s="227"/>
      <c r="C28" s="226" t="s">
        <v>378</v>
      </c>
      <c r="D28" s="226"/>
      <c r="E28" s="226"/>
      <c r="F28" s="226"/>
      <c r="G28" s="227"/>
      <c r="H28" s="227"/>
      <c r="I28" s="227"/>
      <c r="J28" s="227"/>
      <c r="K28" s="227"/>
      <c r="L28" s="227"/>
      <c r="M28" s="227"/>
      <c r="N28" s="227"/>
      <c r="O28" s="227"/>
      <c r="P28" s="227"/>
      <c r="Q28" s="227"/>
      <c r="R28" s="227"/>
      <c r="S28" s="227"/>
    </row>
    <row r="29" spans="1:19" s="225" customFormat="1" ht="22.95" customHeight="1" x14ac:dyDescent="0.2">
      <c r="B29" s="227"/>
      <c r="C29" s="230"/>
      <c r="D29" s="230"/>
      <c r="E29" s="230"/>
      <c r="F29" s="230"/>
      <c r="G29" s="227"/>
      <c r="H29" s="227"/>
      <c r="I29" s="227"/>
      <c r="J29" s="227"/>
      <c r="K29" s="227"/>
      <c r="L29" s="227"/>
      <c r="M29" s="227"/>
      <c r="N29" s="227"/>
      <c r="O29" s="227"/>
      <c r="P29" s="227"/>
      <c r="Q29" s="227"/>
      <c r="R29" s="227"/>
      <c r="S29" s="227"/>
    </row>
    <row r="30" spans="1:19" s="225" customFormat="1" ht="22.95" customHeight="1" x14ac:dyDescent="0.2">
      <c r="B30" s="227"/>
      <c r="C30" s="226" t="s">
        <v>243</v>
      </c>
      <c r="D30" s="226"/>
      <c r="E30" s="226"/>
      <c r="F30" s="226"/>
      <c r="G30" s="227"/>
      <c r="H30" s="227"/>
      <c r="I30" s="227"/>
      <c r="J30" s="227"/>
      <c r="K30" s="227"/>
      <c r="L30" s="227"/>
      <c r="M30" s="227"/>
      <c r="N30" s="227"/>
      <c r="O30" s="227"/>
      <c r="P30" s="227"/>
      <c r="Q30" s="227"/>
      <c r="R30" s="227"/>
      <c r="S30" s="227"/>
    </row>
    <row r="31" spans="1:19" s="225" customFormat="1" ht="22.95" customHeight="1" x14ac:dyDescent="0.2">
      <c r="B31" s="227"/>
      <c r="C31" s="226" t="s">
        <v>377</v>
      </c>
      <c r="D31" s="226"/>
      <c r="E31" s="226"/>
      <c r="F31" s="226"/>
      <c r="G31" s="227"/>
      <c r="H31" s="227"/>
      <c r="I31" s="227"/>
      <c r="J31" s="227"/>
      <c r="K31" s="227"/>
      <c r="L31" s="227"/>
      <c r="M31" s="227"/>
      <c r="N31" s="227"/>
      <c r="O31" s="227"/>
      <c r="P31" s="227"/>
      <c r="Q31" s="227"/>
      <c r="R31" s="227"/>
      <c r="S31" s="227"/>
    </row>
    <row r="32" spans="1:19" s="225" customFormat="1" ht="22.95" customHeight="1" x14ac:dyDescent="0.2">
      <c r="B32" s="227"/>
      <c r="C32" s="226" t="s">
        <v>379</v>
      </c>
      <c r="D32" s="226"/>
      <c r="E32" s="226"/>
      <c r="F32" s="226"/>
      <c r="G32" s="227"/>
      <c r="H32" s="227"/>
      <c r="I32" s="227"/>
      <c r="J32" s="227"/>
      <c r="K32" s="227"/>
      <c r="L32" s="227"/>
      <c r="M32" s="227"/>
      <c r="N32" s="227"/>
      <c r="O32" s="227"/>
      <c r="P32" s="227"/>
      <c r="Q32" s="227"/>
      <c r="R32" s="227"/>
      <c r="S32" s="227"/>
    </row>
    <row r="33" spans="1:22" s="225" customFormat="1" ht="22.95" customHeight="1" x14ac:dyDescent="0.2">
      <c r="B33" s="227"/>
      <c r="C33" s="226"/>
      <c r="D33" s="226"/>
      <c r="E33" s="226"/>
      <c r="F33" s="226"/>
      <c r="G33" s="227"/>
      <c r="H33" s="227"/>
      <c r="I33" s="227"/>
      <c r="J33" s="227"/>
      <c r="K33" s="227"/>
      <c r="L33" s="227"/>
      <c r="M33" s="227"/>
      <c r="N33" s="227"/>
      <c r="O33" s="227"/>
      <c r="P33" s="227"/>
      <c r="Q33" s="227"/>
      <c r="R33" s="227"/>
      <c r="S33" s="227"/>
    </row>
    <row r="34" spans="1:22" s="225" customFormat="1" ht="22.95" customHeight="1" x14ac:dyDescent="0.2">
      <c r="B34" s="227"/>
      <c r="C34" s="226" t="s">
        <v>244</v>
      </c>
      <c r="D34" s="226"/>
      <c r="E34" s="226"/>
      <c r="F34" s="226"/>
      <c r="G34" s="227"/>
      <c r="H34" s="227"/>
      <c r="I34" s="227"/>
      <c r="J34" s="227"/>
      <c r="K34" s="227"/>
      <c r="L34" s="227"/>
      <c r="M34" s="227"/>
      <c r="N34" s="227"/>
      <c r="O34" s="227"/>
      <c r="P34" s="227"/>
      <c r="Q34" s="227"/>
      <c r="R34" s="227"/>
      <c r="S34" s="227"/>
    </row>
    <row r="35" spans="1:22" s="225" customFormat="1" ht="22.95" customHeight="1" x14ac:dyDescent="0.2">
      <c r="B35" s="227"/>
      <c r="C35" s="226" t="s">
        <v>7</v>
      </c>
      <c r="D35" s="226"/>
      <c r="E35" s="226"/>
      <c r="F35" s="226"/>
      <c r="G35" s="227"/>
      <c r="H35" s="227"/>
      <c r="I35" s="227"/>
      <c r="J35" s="227"/>
      <c r="K35" s="227"/>
      <c r="L35" s="227"/>
      <c r="M35" s="227"/>
      <c r="N35" s="227"/>
      <c r="O35" s="227"/>
      <c r="P35" s="227"/>
      <c r="Q35" s="227"/>
      <c r="R35" s="227"/>
      <c r="S35" s="227"/>
    </row>
    <row r="36" spans="1:22" s="225" customFormat="1" ht="22.95" customHeight="1" x14ac:dyDescent="0.2">
      <c r="B36" s="227"/>
      <c r="C36" s="226" t="s">
        <v>8</v>
      </c>
      <c r="D36" s="226"/>
      <c r="E36" s="226"/>
      <c r="F36" s="226"/>
      <c r="G36" s="227"/>
      <c r="H36" s="227"/>
      <c r="I36" s="227"/>
      <c r="J36" s="227"/>
      <c r="K36" s="227"/>
      <c r="L36" s="227"/>
      <c r="M36" s="227"/>
      <c r="N36" s="227"/>
      <c r="O36" s="227"/>
      <c r="P36" s="227"/>
      <c r="Q36" s="227"/>
      <c r="R36" s="227"/>
      <c r="S36" s="227"/>
    </row>
    <row r="37" spans="1:22" s="225" customFormat="1" ht="22.95" customHeight="1" x14ac:dyDescent="0.2">
      <c r="B37" s="227"/>
      <c r="C37" s="226" t="s">
        <v>9</v>
      </c>
      <c r="D37" s="226"/>
      <c r="E37" s="226"/>
      <c r="F37" s="226"/>
      <c r="G37" s="227"/>
      <c r="H37" s="227"/>
      <c r="I37" s="227"/>
      <c r="J37" s="227"/>
      <c r="K37" s="227"/>
      <c r="L37" s="227"/>
      <c r="M37" s="227"/>
      <c r="N37" s="227"/>
      <c r="O37" s="227"/>
      <c r="P37" s="227"/>
      <c r="Q37" s="227"/>
      <c r="R37" s="227"/>
      <c r="S37" s="227"/>
    </row>
    <row r="38" spans="1:22" s="225" customFormat="1" ht="22.95" customHeight="1" x14ac:dyDescent="0.2">
      <c r="B38" s="227"/>
      <c r="C38" s="226" t="s">
        <v>10</v>
      </c>
      <c r="D38" s="226"/>
      <c r="E38" s="226"/>
      <c r="F38" s="226"/>
      <c r="G38" s="227"/>
      <c r="H38" s="227"/>
      <c r="I38" s="227"/>
      <c r="J38" s="227"/>
      <c r="K38" s="227"/>
      <c r="L38" s="227"/>
      <c r="M38" s="227"/>
      <c r="N38" s="227"/>
      <c r="O38" s="227"/>
      <c r="P38" s="227"/>
      <c r="Q38" s="227"/>
      <c r="R38" s="227"/>
      <c r="S38" s="227"/>
    </row>
    <row r="39" spans="1:22" s="225" customFormat="1" ht="22.95" customHeight="1" x14ac:dyDescent="0.2">
      <c r="B39" s="227"/>
      <c r="C39" s="226"/>
      <c r="D39" s="226"/>
      <c r="E39" s="226"/>
      <c r="F39" s="226"/>
      <c r="G39" s="227"/>
      <c r="H39" s="227"/>
      <c r="I39" s="227"/>
      <c r="J39" s="227"/>
      <c r="K39" s="227"/>
      <c r="L39" s="227"/>
      <c r="M39" s="227"/>
      <c r="N39" s="227"/>
      <c r="O39" s="227"/>
      <c r="P39" s="227"/>
      <c r="Q39" s="227"/>
      <c r="R39" s="227"/>
      <c r="S39" s="227"/>
    </row>
    <row r="40" spans="1:22" s="225" customFormat="1" ht="22.95" customHeight="1" x14ac:dyDescent="0.2">
      <c r="B40" s="227"/>
      <c r="C40" s="226" t="s">
        <v>245</v>
      </c>
      <c r="D40" s="226"/>
      <c r="E40" s="226"/>
      <c r="F40" s="226"/>
      <c r="G40" s="227"/>
      <c r="H40" s="227"/>
      <c r="I40" s="227"/>
      <c r="J40" s="227"/>
      <c r="K40" s="227"/>
      <c r="L40" s="227"/>
      <c r="M40" s="227"/>
      <c r="N40" s="227"/>
      <c r="O40" s="227"/>
      <c r="P40" s="227"/>
      <c r="Q40" s="227"/>
      <c r="R40" s="227"/>
      <c r="S40" s="227"/>
    </row>
    <row r="41" spans="1:22" s="225" customFormat="1" ht="22.95" customHeight="1" x14ac:dyDescent="0.2">
      <c r="B41" s="227"/>
      <c r="C41" s="226" t="s">
        <v>7</v>
      </c>
      <c r="D41" s="226"/>
      <c r="E41" s="226"/>
      <c r="F41" s="226"/>
      <c r="G41" s="227"/>
      <c r="H41" s="227"/>
      <c r="I41" s="227"/>
      <c r="J41" s="227"/>
      <c r="K41" s="227"/>
      <c r="L41" s="227"/>
      <c r="M41" s="227"/>
      <c r="N41" s="227"/>
      <c r="O41" s="227"/>
      <c r="P41" s="227"/>
      <c r="Q41" s="227"/>
      <c r="R41" s="227"/>
      <c r="S41" s="227"/>
    </row>
    <row r="42" spans="1:22" s="225" customFormat="1" ht="22.95" customHeight="1" x14ac:dyDescent="0.2">
      <c r="B42" s="227"/>
      <c r="C42" s="226" t="s">
        <v>8</v>
      </c>
      <c r="D42" s="226"/>
      <c r="E42" s="226"/>
      <c r="F42" s="226"/>
      <c r="G42" s="227"/>
      <c r="H42" s="227"/>
      <c r="I42" s="227"/>
      <c r="J42" s="227"/>
      <c r="K42" s="227"/>
      <c r="L42" s="227"/>
      <c r="M42" s="227"/>
      <c r="N42" s="227"/>
      <c r="O42" s="227"/>
      <c r="P42" s="227"/>
      <c r="Q42" s="227"/>
      <c r="R42" s="227"/>
      <c r="S42" s="227"/>
    </row>
    <row r="43" spans="1:22" s="225" customFormat="1" ht="22.95" customHeight="1" x14ac:dyDescent="0.2">
      <c r="B43" s="227"/>
      <c r="C43" s="226" t="s">
        <v>9</v>
      </c>
      <c r="D43" s="226"/>
      <c r="E43" s="226"/>
      <c r="F43" s="226"/>
      <c r="G43" s="227"/>
      <c r="H43" s="227"/>
      <c r="I43" s="227"/>
      <c r="J43" s="227"/>
      <c r="K43" s="227"/>
      <c r="L43" s="227"/>
      <c r="M43" s="227"/>
      <c r="N43" s="227"/>
      <c r="O43" s="227"/>
      <c r="P43" s="227"/>
      <c r="Q43" s="227"/>
      <c r="R43" s="227"/>
      <c r="S43" s="227"/>
    </row>
    <row r="44" spans="1:22" s="225" customFormat="1" ht="22.95" customHeight="1" x14ac:dyDescent="0.2">
      <c r="B44" s="227"/>
      <c r="C44" s="226" t="s">
        <v>10</v>
      </c>
      <c r="D44" s="226"/>
      <c r="E44" s="226"/>
      <c r="F44" s="226"/>
      <c r="G44" s="227"/>
      <c r="H44" s="227"/>
      <c r="I44" s="227"/>
      <c r="J44" s="227"/>
      <c r="K44" s="227"/>
      <c r="L44" s="227"/>
      <c r="M44" s="227"/>
      <c r="N44" s="227"/>
      <c r="O44" s="227"/>
      <c r="P44" s="227"/>
      <c r="Q44" s="227"/>
      <c r="R44" s="227"/>
      <c r="S44" s="227"/>
    </row>
    <row r="45" spans="1:22" s="225" customFormat="1" ht="22.95" customHeight="1" x14ac:dyDescent="0.2">
      <c r="B45" s="227"/>
      <c r="C45" s="226" t="s">
        <v>11</v>
      </c>
      <c r="D45" s="226"/>
      <c r="E45" s="226"/>
      <c r="F45" s="226"/>
      <c r="G45" s="227"/>
      <c r="H45" s="227"/>
      <c r="I45" s="227"/>
      <c r="J45" s="227"/>
      <c r="K45" s="227"/>
      <c r="L45" s="227"/>
      <c r="M45" s="227"/>
      <c r="N45" s="227"/>
      <c r="O45" s="227"/>
      <c r="P45" s="227"/>
      <c r="Q45" s="227"/>
      <c r="R45" s="227"/>
      <c r="S45" s="227"/>
    </row>
    <row r="46" spans="1:22" s="223" customFormat="1" ht="19.95" customHeight="1" thickBot="1" x14ac:dyDescent="0.25">
      <c r="A46" s="224"/>
      <c r="B46" s="236"/>
      <c r="C46" s="236"/>
      <c r="D46" s="237"/>
      <c r="E46" s="237"/>
      <c r="F46" s="237"/>
      <c r="G46" s="237"/>
      <c r="H46" s="237"/>
      <c r="I46" s="237"/>
      <c r="J46" s="237"/>
      <c r="K46" s="237"/>
      <c r="L46" s="237"/>
      <c r="M46" s="237"/>
      <c r="N46" s="237"/>
      <c r="O46" s="237"/>
      <c r="P46" s="237"/>
      <c r="Q46" s="227"/>
      <c r="R46" s="227"/>
      <c r="S46" s="227"/>
    </row>
    <row r="47" spans="1:22" ht="30" customHeight="1" thickTop="1" thickBot="1" x14ac:dyDescent="0.25">
      <c r="A47" s="41"/>
      <c r="B47" s="42"/>
      <c r="C47" s="42"/>
      <c r="D47" s="43"/>
      <c r="E47" s="43"/>
      <c r="F47" s="43"/>
      <c r="G47" s="43"/>
      <c r="H47" s="43"/>
      <c r="I47" s="43"/>
      <c r="J47" s="43"/>
      <c r="K47" s="43"/>
      <c r="L47" s="43"/>
      <c r="M47" s="43"/>
      <c r="N47" s="43"/>
      <c r="O47" s="43"/>
      <c r="P47" s="43"/>
      <c r="Q47" s="218"/>
      <c r="R47" s="218"/>
      <c r="S47" s="239" t="str">
        <f>'1.基本データ(このシートは削除しないこと！)'!H1</f>
        <v>令和６年度様式（令和６年４月１日以降の入札公告から適用）</v>
      </c>
      <c r="T47" s="424" t="s">
        <v>2</v>
      </c>
      <c r="U47" s="425"/>
      <c r="V47" s="44" t="e">
        <f>SUM(F52:F102)</f>
        <v>#N/A</v>
      </c>
    </row>
    <row r="48" spans="1:22" ht="14.25" customHeight="1" thickTop="1" x14ac:dyDescent="0.2">
      <c r="A48" s="45"/>
      <c r="B48" s="428" t="s">
        <v>246</v>
      </c>
      <c r="C48" s="428"/>
      <c r="D48" s="428"/>
      <c r="E48" s="428"/>
      <c r="F48" s="428"/>
      <c r="G48" s="428"/>
      <c r="H48" s="428"/>
      <c r="I48" s="181"/>
      <c r="J48" s="181"/>
      <c r="K48" s="181"/>
      <c r="L48" s="181"/>
      <c r="M48" s="181"/>
      <c r="N48" s="181"/>
      <c r="O48" s="181"/>
      <c r="P48" s="181"/>
      <c r="Q48" s="46"/>
      <c r="S48" s="47" t="s">
        <v>239</v>
      </c>
    </row>
    <row r="49" spans="1:42" ht="16.5" customHeight="1" x14ac:dyDescent="0.2">
      <c r="A49" s="45"/>
      <c r="B49" s="346" t="s">
        <v>140</v>
      </c>
      <c r="C49" s="346"/>
      <c r="D49" s="346"/>
      <c r="E49" s="347" t="str">
        <f>'1.基本データ(このシートは削除しないこと！)'!H14&amp;'1.基本データ(このシートは削除しないこと！)'!H15</f>
        <v>第○○-○○○○○-○○○○号 ○○○○○○○○○○○○工事</v>
      </c>
      <c r="F49" s="347"/>
      <c r="G49" s="347"/>
      <c r="H49" s="347"/>
      <c r="I49" s="347"/>
      <c r="J49" s="347"/>
      <c r="K49" s="347"/>
      <c r="L49" s="347"/>
      <c r="M49" s="347"/>
      <c r="N49" s="347"/>
      <c r="O49" s="347"/>
      <c r="P49" s="347"/>
      <c r="Q49" s="347"/>
      <c r="R49" s="347"/>
    </row>
    <row r="50" spans="1:42" ht="16.5" customHeight="1" thickBot="1" x14ac:dyDescent="0.25">
      <c r="A50" s="45"/>
      <c r="B50" s="48"/>
      <c r="C50" s="48"/>
      <c r="D50" s="49" t="s">
        <v>141</v>
      </c>
      <c r="E50" s="50" t="str">
        <f>IF('1.基本データ(このシートは削除しないこと！)'!H11=0,'1.基本データ(このシートは削除しないこと！)'!H7,'1.基本データ(このシートは削除しないこと！)'!H11)</f>
        <v>○○・△△特定建設工事共同企業体</v>
      </c>
      <c r="F50" s="45"/>
      <c r="G50" s="45"/>
      <c r="H50" s="45"/>
      <c r="I50" s="45"/>
      <c r="J50" s="45"/>
      <c r="K50" s="45"/>
      <c r="L50" s="45"/>
      <c r="M50" s="45"/>
      <c r="N50" s="45"/>
      <c r="O50" s="45"/>
      <c r="P50" s="45"/>
      <c r="Q50" s="45"/>
      <c r="R50" s="45"/>
      <c r="S50" s="45"/>
    </row>
    <row r="51" spans="1:42" ht="22.5" customHeight="1" thickBot="1" x14ac:dyDescent="0.25">
      <c r="A51" s="45"/>
      <c r="B51" s="426" t="s">
        <v>346</v>
      </c>
      <c r="C51" s="426"/>
      <c r="D51" s="426"/>
      <c r="E51" s="51" t="s">
        <v>170</v>
      </c>
      <c r="F51" s="52" t="s">
        <v>1</v>
      </c>
      <c r="G51" s="455" t="s">
        <v>327</v>
      </c>
      <c r="H51" s="456"/>
      <c r="I51" s="456"/>
      <c r="J51" s="456"/>
      <c r="K51" s="456"/>
      <c r="L51" s="456"/>
      <c r="M51" s="456"/>
      <c r="N51" s="456"/>
      <c r="O51" s="456"/>
      <c r="P51" s="456"/>
      <c r="Q51" s="456"/>
      <c r="R51" s="456"/>
      <c r="S51" s="457"/>
      <c r="V51" s="53" t="s">
        <v>137</v>
      </c>
      <c r="AB51" s="54"/>
      <c r="AC51" s="54"/>
      <c r="AD51" s="55" t="s">
        <v>172</v>
      </c>
      <c r="AE51" s="179" t="s">
        <v>173</v>
      </c>
      <c r="AG51" s="54"/>
      <c r="AH51" s="54"/>
      <c r="AP51" s="168" t="s">
        <v>174</v>
      </c>
    </row>
    <row r="52" spans="1:42" ht="34.950000000000003" customHeight="1" thickBot="1" x14ac:dyDescent="0.25">
      <c r="A52" s="45"/>
      <c r="B52" s="329" t="s">
        <v>221</v>
      </c>
      <c r="C52" s="359" t="s">
        <v>358</v>
      </c>
      <c r="D52" s="429"/>
      <c r="E52" s="432">
        <f>AD52</f>
        <v>2</v>
      </c>
      <c r="F52" s="427" t="str">
        <f>IF(Y52=0,"-",AP52)</f>
        <v>-</v>
      </c>
      <c r="G52" s="477" t="s">
        <v>139</v>
      </c>
      <c r="H52" s="478"/>
      <c r="I52" s="468"/>
      <c r="J52" s="469"/>
      <c r="K52" s="469"/>
      <c r="L52" s="469"/>
      <c r="M52" s="469"/>
      <c r="N52" s="469"/>
      <c r="O52" s="469"/>
      <c r="P52" s="469"/>
      <c r="Q52" s="470"/>
      <c r="R52" s="56" t="s">
        <v>258</v>
      </c>
      <c r="S52" s="449"/>
      <c r="V52" s="57">
        <f>IF(I52="",0,1)</f>
        <v>0</v>
      </c>
      <c r="W52" s="57">
        <f>IF(S52="",0,1)</f>
        <v>0</v>
      </c>
      <c r="X52" s="58"/>
      <c r="Y52" s="21">
        <f>SUM(V52:X54)</f>
        <v>0</v>
      </c>
      <c r="Z52" s="22" t="s">
        <v>213</v>
      </c>
      <c r="AA52" s="59" t="s">
        <v>20</v>
      </c>
      <c r="AB52" s="60"/>
      <c r="AC52" s="61">
        <f>IF($I$53=AA52,1,0)</f>
        <v>0</v>
      </c>
      <c r="AD52" s="62">
        <v>2</v>
      </c>
      <c r="AE52" s="63">
        <f>AC52*AD52</f>
        <v>0</v>
      </c>
      <c r="AG52" s="64"/>
      <c r="AH52" s="64"/>
      <c r="AP52" s="169">
        <f>IF(Y52=4,MAX(AE52:AE54),0)</f>
        <v>0</v>
      </c>
    </row>
    <row r="53" spans="1:42" ht="34.950000000000003" customHeight="1" thickBot="1" x14ac:dyDescent="0.25">
      <c r="A53" s="45"/>
      <c r="B53" s="330"/>
      <c r="C53" s="430"/>
      <c r="D53" s="431"/>
      <c r="E53" s="433"/>
      <c r="F53" s="427"/>
      <c r="G53" s="473" t="s">
        <v>349</v>
      </c>
      <c r="H53" s="474"/>
      <c r="I53" s="468"/>
      <c r="J53" s="469"/>
      <c r="K53" s="469"/>
      <c r="L53" s="469"/>
      <c r="M53" s="469"/>
      <c r="N53" s="469"/>
      <c r="O53" s="469"/>
      <c r="P53" s="469"/>
      <c r="Q53" s="470"/>
      <c r="R53" s="337" t="s">
        <v>259</v>
      </c>
      <c r="S53" s="450"/>
      <c r="V53" s="57">
        <f>IF(I53="",0,1)</f>
        <v>0</v>
      </c>
      <c r="W53" s="65"/>
      <c r="X53" s="66"/>
      <c r="Y53" s="66"/>
      <c r="Z53" s="22"/>
      <c r="AA53" s="59" t="s">
        <v>26</v>
      </c>
      <c r="AB53" s="60"/>
      <c r="AC53" s="61">
        <f>IF($I$53=AA53,1,0)</f>
        <v>0</v>
      </c>
      <c r="AD53" s="62">
        <v>1.5</v>
      </c>
      <c r="AE53" s="63">
        <f>AC53*AD53</f>
        <v>0</v>
      </c>
      <c r="AG53" s="64"/>
      <c r="AH53" s="64"/>
      <c r="AP53" s="67"/>
    </row>
    <row r="54" spans="1:42" ht="34.950000000000003" customHeight="1" thickBot="1" x14ac:dyDescent="0.25">
      <c r="A54" s="45"/>
      <c r="B54" s="330"/>
      <c r="C54" s="430"/>
      <c r="D54" s="431"/>
      <c r="E54" s="433"/>
      <c r="F54" s="427"/>
      <c r="G54" s="475" t="s">
        <v>268</v>
      </c>
      <c r="H54" s="476"/>
      <c r="I54" s="487"/>
      <c r="J54" s="488"/>
      <c r="K54" s="348" t="s">
        <v>249</v>
      </c>
      <c r="L54" s="348"/>
      <c r="M54" s="471" t="s">
        <v>278</v>
      </c>
      <c r="N54" s="472"/>
      <c r="O54" s="472"/>
      <c r="P54" s="270" t="s">
        <v>200</v>
      </c>
      <c r="Q54" s="25" t="s">
        <v>279</v>
      </c>
      <c r="R54" s="338"/>
      <c r="S54" s="451"/>
      <c r="V54" s="57">
        <f>IF(I54="",0,1)</f>
        <v>0</v>
      </c>
      <c r="W54" s="68"/>
      <c r="X54" s="66"/>
      <c r="Y54" s="66"/>
      <c r="AA54" s="59" t="s">
        <v>29</v>
      </c>
      <c r="AB54" s="60"/>
      <c r="AC54" s="61">
        <f>IF($I$53=AA54,1,0)</f>
        <v>0</v>
      </c>
      <c r="AD54" s="62">
        <v>0.5</v>
      </c>
      <c r="AE54" s="63">
        <f>AC54*AD54</f>
        <v>0</v>
      </c>
      <c r="AG54" s="64"/>
      <c r="AH54" s="64"/>
      <c r="AJ54" s="16" t="s">
        <v>307</v>
      </c>
      <c r="AK54" s="16" t="s">
        <v>308</v>
      </c>
    </row>
    <row r="55" spans="1:42" ht="34.950000000000003" customHeight="1" thickBot="1" x14ac:dyDescent="0.25">
      <c r="A55" s="45"/>
      <c r="B55" s="434"/>
      <c r="C55" s="446" t="s">
        <v>357</v>
      </c>
      <c r="D55" s="441"/>
      <c r="E55" s="452">
        <f>AD56</f>
        <v>1.5</v>
      </c>
      <c r="F55" s="354" t="str">
        <f>IF(Y55=0,"-",AP56)</f>
        <v>-</v>
      </c>
      <c r="G55" s="326" t="s">
        <v>341</v>
      </c>
      <c r="H55" s="460"/>
      <c r="I55" s="38" t="s">
        <v>250</v>
      </c>
      <c r="J55" s="222"/>
      <c r="K55" s="39" t="s">
        <v>252</v>
      </c>
      <c r="L55" s="339"/>
      <c r="M55" s="340"/>
      <c r="N55" s="39" t="s">
        <v>252</v>
      </c>
      <c r="O55" s="341"/>
      <c r="P55" s="340"/>
      <c r="Q55" s="69" t="s">
        <v>253</v>
      </c>
      <c r="R55" s="216" t="s">
        <v>352</v>
      </c>
      <c r="S55" s="157" t="s">
        <v>169</v>
      </c>
      <c r="V55" s="57">
        <f>IF(AND(J55&lt;&gt;"",L55&lt;&gt;"",O55&lt;&gt;""),1,0)</f>
        <v>0</v>
      </c>
      <c r="W55" s="57">
        <f>IF(S55='1.基本データ(このシートは削除しないこと！)'!D16,1,0)</f>
        <v>0</v>
      </c>
      <c r="X55" s="58"/>
      <c r="Y55" s="21">
        <f>SUM(V55:W56)</f>
        <v>0</v>
      </c>
      <c r="Z55" s="22" t="s">
        <v>238</v>
      </c>
      <c r="AB55" s="64"/>
      <c r="AC55" s="64"/>
      <c r="AD55" s="55" t="s">
        <v>165</v>
      </c>
      <c r="AE55" s="179" t="s">
        <v>148</v>
      </c>
      <c r="AG55" s="70" t="s">
        <v>304</v>
      </c>
      <c r="AH55" s="71"/>
      <c r="AI55" s="61">
        <f>IF($S$56=AG55,1,0)</f>
        <v>0</v>
      </c>
      <c r="AJ55" s="57">
        <v>1.25</v>
      </c>
      <c r="AK55" s="62">
        <f>AI55*AJ55</f>
        <v>0</v>
      </c>
      <c r="AP55" s="168" t="s">
        <v>168</v>
      </c>
    </row>
    <row r="56" spans="1:42" ht="34.950000000000003" customHeight="1" thickBot="1" x14ac:dyDescent="0.25">
      <c r="A56" s="45"/>
      <c r="B56" s="434"/>
      <c r="C56" s="447"/>
      <c r="D56" s="443"/>
      <c r="E56" s="453"/>
      <c r="F56" s="410"/>
      <c r="G56" s="458" t="s">
        <v>389</v>
      </c>
      <c r="H56" s="459"/>
      <c r="I56" s="323"/>
      <c r="J56" s="324"/>
      <c r="K56" s="324"/>
      <c r="L56" s="324"/>
      <c r="M56" s="324"/>
      <c r="N56" s="324"/>
      <c r="O56" s="325"/>
      <c r="P56" s="509" t="s">
        <v>350</v>
      </c>
      <c r="Q56" s="509"/>
      <c r="R56" s="510"/>
      <c r="S56" s="157" t="s">
        <v>169</v>
      </c>
      <c r="V56" s="57">
        <f>IF(AND(I56&lt;&gt;""),1,0)</f>
        <v>0</v>
      </c>
      <c r="W56" s="57">
        <f>IF(S56="-",0,1)</f>
        <v>0</v>
      </c>
      <c r="X56" s="66"/>
      <c r="AA56" s="70" t="s">
        <v>306</v>
      </c>
      <c r="AB56" s="71"/>
      <c r="AC56" s="61">
        <f>IF($S$56=AA56,1,0)</f>
        <v>0</v>
      </c>
      <c r="AD56" s="57">
        <v>1.5</v>
      </c>
      <c r="AE56" s="62">
        <f>AC56*AD56</f>
        <v>0</v>
      </c>
      <c r="AG56" s="70" t="s">
        <v>136</v>
      </c>
      <c r="AH56" s="71"/>
      <c r="AI56" s="61">
        <f>IF($S$56=AG56,1,0)</f>
        <v>0</v>
      </c>
      <c r="AJ56" s="57">
        <v>1</v>
      </c>
      <c r="AK56" s="62">
        <f>AI56*AJ56</f>
        <v>0</v>
      </c>
      <c r="AP56" s="169">
        <f>IF(Y55=4,MAX(AE56,AK55,AK56),0)</f>
        <v>0</v>
      </c>
    </row>
    <row r="57" spans="1:42" ht="19.95" customHeight="1" thickBot="1" x14ac:dyDescent="0.25">
      <c r="A57" s="45"/>
      <c r="B57" s="434"/>
      <c r="C57" s="448"/>
      <c r="D57" s="445"/>
      <c r="E57" s="454"/>
      <c r="F57" s="355"/>
      <c r="G57" s="461" t="s">
        <v>325</v>
      </c>
      <c r="H57" s="462"/>
      <c r="I57" s="462"/>
      <c r="J57" s="462"/>
      <c r="K57" s="462"/>
      <c r="L57" s="462"/>
      <c r="M57" s="462"/>
      <c r="N57" s="462"/>
      <c r="O57" s="462"/>
      <c r="P57" s="462"/>
      <c r="Q57" s="462"/>
      <c r="R57" s="462"/>
      <c r="S57" s="463"/>
      <c r="V57" s="57"/>
      <c r="W57" s="66"/>
      <c r="X57" s="66"/>
      <c r="AA57" s="72"/>
      <c r="AB57" s="73"/>
      <c r="AC57" s="74"/>
      <c r="AD57" s="57"/>
      <c r="AE57" s="75"/>
      <c r="AG57" s="72"/>
      <c r="AH57" s="73"/>
      <c r="AI57" s="74"/>
      <c r="AJ57" s="66"/>
      <c r="AK57" s="75"/>
      <c r="AP57" s="169"/>
    </row>
    <row r="58" spans="1:42" ht="34.950000000000003" customHeight="1" thickBot="1" x14ac:dyDescent="0.25">
      <c r="A58" s="45"/>
      <c r="B58" s="434"/>
      <c r="C58" s="326" t="s">
        <v>272</v>
      </c>
      <c r="D58" s="327"/>
      <c r="E58" s="76">
        <f>AD58</f>
        <v>0.25</v>
      </c>
      <c r="F58" s="77" t="str">
        <f t="shared" ref="F58:F60" si="0">AP58</f>
        <v>-</v>
      </c>
      <c r="G58" s="466" t="s">
        <v>388</v>
      </c>
      <c r="H58" s="467"/>
      <c r="I58" s="467"/>
      <c r="J58" s="467"/>
      <c r="K58" s="467"/>
      <c r="L58" s="467"/>
      <c r="M58" s="467"/>
      <c r="N58" s="467"/>
      <c r="O58" s="467"/>
      <c r="P58" s="467"/>
      <c r="Q58" s="467"/>
      <c r="R58" s="20" t="s">
        <v>351</v>
      </c>
      <c r="S58" s="158" t="s">
        <v>169</v>
      </c>
      <c r="V58" s="57">
        <f>IF(S58="有",1,0)</f>
        <v>0</v>
      </c>
      <c r="W58" s="66"/>
      <c r="X58" s="66"/>
      <c r="AD58" s="62">
        <v>0.25</v>
      </c>
      <c r="AE58" s="78"/>
      <c r="AG58" s="64"/>
      <c r="AH58" s="64"/>
      <c r="AP58" s="170" t="str">
        <f>IF(V58=1,AD58,"-")</f>
        <v>-</v>
      </c>
    </row>
    <row r="59" spans="1:42" ht="34.950000000000003" customHeight="1" thickBot="1" x14ac:dyDescent="0.25">
      <c r="A59" s="45"/>
      <c r="B59" s="434"/>
      <c r="C59" s="326" t="s">
        <v>367</v>
      </c>
      <c r="D59" s="327"/>
      <c r="E59" s="76">
        <f t="shared" ref="E59:E61" si="1">AD59</f>
        <v>0.25</v>
      </c>
      <c r="F59" s="77" t="str">
        <f>IF('1.基本データ(このシートは削除しないこと！)'!H16=1,AP59,"-")</f>
        <v>-</v>
      </c>
      <c r="G59" s="466" t="s">
        <v>370</v>
      </c>
      <c r="H59" s="467"/>
      <c r="I59" s="467"/>
      <c r="J59" s="467"/>
      <c r="K59" s="467"/>
      <c r="L59" s="467"/>
      <c r="M59" s="467"/>
      <c r="N59" s="467"/>
      <c r="O59" s="467"/>
      <c r="P59" s="467"/>
      <c r="Q59" s="467"/>
      <c r="R59" s="20" t="s">
        <v>369</v>
      </c>
      <c r="S59" s="158" t="s">
        <v>169</v>
      </c>
      <c r="V59" s="57">
        <f>IF(S59="有",1,0)</f>
        <v>0</v>
      </c>
      <c r="W59" s="66"/>
      <c r="X59" s="66"/>
      <c r="AD59" s="62">
        <v>0.25</v>
      </c>
      <c r="AE59" s="62">
        <f>IF('1.基本データ(このシートは削除しないこと！)'!H16=1,1,0)</f>
        <v>1</v>
      </c>
      <c r="AF59" s="27">
        <f>AD59*AE59</f>
        <v>0.25</v>
      </c>
      <c r="AG59" s="64"/>
      <c r="AH59" s="64"/>
      <c r="AP59" s="170" t="str">
        <f>IF(V59=1,AF59,"-")</f>
        <v>-</v>
      </c>
    </row>
    <row r="60" spans="1:42" ht="34.950000000000003" customHeight="1" thickBot="1" x14ac:dyDescent="0.25">
      <c r="A60" s="45"/>
      <c r="B60" s="434"/>
      <c r="C60" s="482" t="s">
        <v>273</v>
      </c>
      <c r="D60" s="483"/>
      <c r="E60" s="76">
        <f t="shared" si="1"/>
        <v>0.25</v>
      </c>
      <c r="F60" s="77" t="str">
        <f t="shared" si="0"/>
        <v>-</v>
      </c>
      <c r="G60" s="464" t="s">
        <v>260</v>
      </c>
      <c r="H60" s="465"/>
      <c r="I60" s="465"/>
      <c r="J60" s="465"/>
      <c r="K60" s="465"/>
      <c r="L60" s="465"/>
      <c r="M60" s="465"/>
      <c r="N60" s="465"/>
      <c r="O60" s="465"/>
      <c r="P60" s="465"/>
      <c r="Q60" s="465"/>
      <c r="R60" s="20" t="s">
        <v>351</v>
      </c>
      <c r="S60" s="159" t="s">
        <v>169</v>
      </c>
      <c r="V60" s="57">
        <f>IF(S60="有",1,0)</f>
        <v>0</v>
      </c>
      <c r="W60" s="66"/>
      <c r="X60" s="66"/>
      <c r="AD60" s="62">
        <v>0.25</v>
      </c>
      <c r="AE60" s="78"/>
      <c r="AG60" s="64"/>
      <c r="AH60" s="64"/>
      <c r="AP60" s="170" t="str">
        <f t="shared" ref="AP60" si="2">IF(V60=1,AD60,"-")</f>
        <v>-</v>
      </c>
    </row>
    <row r="61" spans="1:42" ht="34.950000000000003" customHeight="1" thickBot="1" x14ac:dyDescent="0.25">
      <c r="A61" s="45"/>
      <c r="B61" s="434"/>
      <c r="C61" s="326" t="s">
        <v>368</v>
      </c>
      <c r="D61" s="327"/>
      <c r="E61" s="76">
        <f t="shared" si="1"/>
        <v>0.25</v>
      </c>
      <c r="F61" s="77" t="str">
        <f>IF('1.基本データ(このシートは削除しないこと！)'!H16=1,AP61,"-")</f>
        <v>-</v>
      </c>
      <c r="G61" s="466" t="s">
        <v>371</v>
      </c>
      <c r="H61" s="467"/>
      <c r="I61" s="467"/>
      <c r="J61" s="467"/>
      <c r="K61" s="467"/>
      <c r="L61" s="467"/>
      <c r="M61" s="467"/>
      <c r="N61" s="467"/>
      <c r="O61" s="467"/>
      <c r="P61" s="467"/>
      <c r="Q61" s="467"/>
      <c r="R61" s="20" t="s">
        <v>369</v>
      </c>
      <c r="S61" s="158" t="s">
        <v>169</v>
      </c>
      <c r="V61" s="57">
        <f>IF(S61="有",1,0)</f>
        <v>0</v>
      </c>
      <c r="W61" s="66"/>
      <c r="X61" s="66"/>
      <c r="AD61" s="62">
        <v>0.25</v>
      </c>
      <c r="AE61" s="62">
        <f>IF('1.基本データ(このシートは削除しないこと！)'!H16=1,1,0)</f>
        <v>1</v>
      </c>
      <c r="AF61" s="27">
        <f>AD61*AE61</f>
        <v>0.25</v>
      </c>
      <c r="AG61" s="64"/>
      <c r="AH61" s="64"/>
      <c r="AP61" s="170" t="str">
        <f>IF(V61=1,AF61,"-")</f>
        <v>-</v>
      </c>
    </row>
    <row r="62" spans="1:42" ht="34.950000000000003" customHeight="1" thickBot="1" x14ac:dyDescent="0.25">
      <c r="A62" s="45"/>
      <c r="B62" s="330"/>
      <c r="C62" s="438" t="s">
        <v>0</v>
      </c>
      <c r="D62" s="439"/>
      <c r="E62" s="215"/>
      <c r="F62" s="215"/>
      <c r="G62" s="495" t="s">
        <v>381</v>
      </c>
      <c r="H62" s="496"/>
      <c r="I62" s="484"/>
      <c r="J62" s="485"/>
      <c r="K62" s="485"/>
      <c r="L62" s="485"/>
      <c r="M62" s="485"/>
      <c r="N62" s="485"/>
      <c r="O62" s="485"/>
      <c r="P62" s="485"/>
      <c r="Q62" s="486"/>
      <c r="R62" s="435" t="s">
        <v>380</v>
      </c>
      <c r="S62" s="436"/>
      <c r="V62" s="21">
        <f>IF(I62="",0,1)</f>
        <v>0</v>
      </c>
      <c r="W62" s="27" t="s">
        <v>222</v>
      </c>
      <c r="AD62" s="55" t="s">
        <v>165</v>
      </c>
      <c r="AE62" s="55" t="s">
        <v>148</v>
      </c>
      <c r="AP62" s="168" t="s">
        <v>168</v>
      </c>
    </row>
    <row r="63" spans="1:42" ht="34.950000000000003" customHeight="1" thickBot="1" x14ac:dyDescent="0.25">
      <c r="A63" s="45"/>
      <c r="B63" s="330"/>
      <c r="C63" s="440" t="s">
        <v>382</v>
      </c>
      <c r="D63" s="441"/>
      <c r="E63" s="437">
        <f>AD63</f>
        <v>0.5</v>
      </c>
      <c r="F63" s="427" t="str">
        <f>IF(Y63=0,"-",AP63)</f>
        <v>-</v>
      </c>
      <c r="G63" s="477" t="s">
        <v>139</v>
      </c>
      <c r="H63" s="478"/>
      <c r="I63" s="479"/>
      <c r="J63" s="480"/>
      <c r="K63" s="480"/>
      <c r="L63" s="480"/>
      <c r="M63" s="480"/>
      <c r="N63" s="480"/>
      <c r="O63" s="480"/>
      <c r="P63" s="480"/>
      <c r="Q63" s="481"/>
      <c r="R63" s="56" t="s">
        <v>258</v>
      </c>
      <c r="S63" s="449"/>
      <c r="V63" s="79">
        <f>IF(I63="",0,1)</f>
        <v>0</v>
      </c>
      <c r="W63" s="57">
        <f>IF(S63="",0,1)</f>
        <v>0</v>
      </c>
      <c r="X63" s="58"/>
      <c r="Y63" s="21">
        <f>SUM(V63:W66)</f>
        <v>0</v>
      </c>
      <c r="Z63" s="22" t="s">
        <v>240</v>
      </c>
      <c r="AB63" s="80"/>
      <c r="AC63" s="80"/>
      <c r="AD63" s="62">
        <v>0.5</v>
      </c>
      <c r="AE63" s="24">
        <f>IF(Y63=5,AD63*V$62,0)</f>
        <v>0</v>
      </c>
      <c r="AG63" s="80"/>
      <c r="AH63" s="80"/>
      <c r="AP63" s="171">
        <f>IF(Y63=5,AE63,0)</f>
        <v>0</v>
      </c>
    </row>
    <row r="64" spans="1:42" ht="34.950000000000003" customHeight="1" thickBot="1" x14ac:dyDescent="0.25">
      <c r="A64" s="45"/>
      <c r="B64" s="330"/>
      <c r="C64" s="442"/>
      <c r="D64" s="443"/>
      <c r="E64" s="437"/>
      <c r="F64" s="427"/>
      <c r="G64" s="495" t="s">
        <v>390</v>
      </c>
      <c r="H64" s="496"/>
      <c r="I64" s="342"/>
      <c r="J64" s="343"/>
      <c r="K64" s="343"/>
      <c r="L64" s="343"/>
      <c r="M64" s="17" t="s">
        <v>254</v>
      </c>
      <c r="N64" s="343"/>
      <c r="O64" s="343"/>
      <c r="P64" s="343"/>
      <c r="Q64" s="344"/>
      <c r="R64" s="337" t="s">
        <v>259</v>
      </c>
      <c r="S64" s="450"/>
      <c r="V64" s="57">
        <f>IF(AND(I64&lt;&gt;"",N64&lt;&gt;""),1,0)</f>
        <v>0</v>
      </c>
      <c r="W64" s="65"/>
      <c r="X64" s="66"/>
      <c r="AB64" s="80"/>
      <c r="AC64" s="80"/>
      <c r="AE64" s="80"/>
      <c r="AG64" s="80"/>
      <c r="AH64" s="80"/>
    </row>
    <row r="65" spans="1:50" ht="34.950000000000003" customHeight="1" thickBot="1" x14ac:dyDescent="0.25">
      <c r="A65" s="45"/>
      <c r="B65" s="330"/>
      <c r="C65" s="442"/>
      <c r="D65" s="443"/>
      <c r="E65" s="437"/>
      <c r="F65" s="427"/>
      <c r="G65" s="495" t="s">
        <v>391</v>
      </c>
      <c r="H65" s="496"/>
      <c r="I65" s="342"/>
      <c r="J65" s="343"/>
      <c r="K65" s="343"/>
      <c r="L65" s="343"/>
      <c r="M65" s="17" t="s">
        <v>248</v>
      </c>
      <c r="N65" s="343"/>
      <c r="O65" s="343"/>
      <c r="P65" s="343"/>
      <c r="Q65" s="344"/>
      <c r="R65" s="337"/>
      <c r="S65" s="450"/>
      <c r="V65" s="57">
        <f>IF(AND(I65&lt;&gt;"",N65&lt;&gt;""),1,0)</f>
        <v>0</v>
      </c>
      <c r="W65" s="81"/>
      <c r="X65" s="66"/>
      <c r="AB65" s="80"/>
      <c r="AC65" s="80"/>
      <c r="AE65" s="80"/>
      <c r="AG65" s="80"/>
      <c r="AH65" s="80"/>
    </row>
    <row r="66" spans="1:50" ht="34.950000000000003" customHeight="1" thickBot="1" x14ac:dyDescent="0.25">
      <c r="A66" s="45"/>
      <c r="B66" s="330"/>
      <c r="C66" s="444"/>
      <c r="D66" s="445"/>
      <c r="E66" s="437"/>
      <c r="F66" s="427"/>
      <c r="G66" s="475" t="s">
        <v>212</v>
      </c>
      <c r="H66" s="476"/>
      <c r="I66" s="487"/>
      <c r="J66" s="488"/>
      <c r="K66" s="348" t="s">
        <v>249</v>
      </c>
      <c r="L66" s="348"/>
      <c r="M66" s="471" t="s">
        <v>278</v>
      </c>
      <c r="N66" s="472"/>
      <c r="O66" s="472"/>
      <c r="P66" s="221" t="s">
        <v>366</v>
      </c>
      <c r="Q66" s="25" t="s">
        <v>279</v>
      </c>
      <c r="R66" s="338"/>
      <c r="S66" s="451"/>
      <c r="V66" s="57">
        <f>IF(I66="",0,1)</f>
        <v>0</v>
      </c>
      <c r="W66" s="68"/>
      <c r="X66" s="66"/>
      <c r="AB66" s="80"/>
      <c r="AC66" s="80"/>
      <c r="AD66" s="55" t="s">
        <v>165</v>
      </c>
      <c r="AE66" s="55" t="s">
        <v>148</v>
      </c>
      <c r="AG66" s="80"/>
      <c r="AH66" s="80"/>
      <c r="AP66" s="168" t="s">
        <v>168</v>
      </c>
    </row>
    <row r="67" spans="1:50" ht="34.950000000000003" customHeight="1" thickBot="1" x14ac:dyDescent="0.25">
      <c r="A67" s="45"/>
      <c r="B67" s="330"/>
      <c r="C67" s="359" t="s">
        <v>383</v>
      </c>
      <c r="D67" s="429"/>
      <c r="E67" s="437">
        <f>AD67</f>
        <v>0.5</v>
      </c>
      <c r="F67" s="427" t="str">
        <f>IF(Y67=0,"-",AP67)</f>
        <v>-</v>
      </c>
      <c r="G67" s="495" t="s">
        <v>261</v>
      </c>
      <c r="H67" s="496"/>
      <c r="I67" s="18" t="s">
        <v>250</v>
      </c>
      <c r="J67" s="222"/>
      <c r="K67" s="19" t="s">
        <v>251</v>
      </c>
      <c r="L67" s="339"/>
      <c r="M67" s="340">
        <v>20</v>
      </c>
      <c r="N67" s="19" t="s">
        <v>255</v>
      </c>
      <c r="O67" s="341"/>
      <c r="P67" s="340">
        <v>20</v>
      </c>
      <c r="Q67" s="82" t="s">
        <v>253</v>
      </c>
      <c r="R67" s="56" t="s">
        <v>258</v>
      </c>
      <c r="S67" s="449"/>
      <c r="V67" s="57">
        <f>IF(AND(J67&lt;&gt;"",L67&lt;&gt;"",O67&lt;&gt;""),1,0)</f>
        <v>0</v>
      </c>
      <c r="W67" s="57">
        <f>IF(S67="",0,1)</f>
        <v>0</v>
      </c>
      <c r="X67" s="58"/>
      <c r="Y67" s="21">
        <f>SUM(V67:W69)</f>
        <v>0</v>
      </c>
      <c r="Z67" s="22" t="s">
        <v>326</v>
      </c>
      <c r="AB67" s="80"/>
      <c r="AC67" s="80"/>
      <c r="AD67" s="62">
        <v>0.5</v>
      </c>
      <c r="AE67" s="24">
        <f>IF(Y67=4,AD67*V$62,0)</f>
        <v>0</v>
      </c>
      <c r="AG67" s="80"/>
      <c r="AH67" s="80"/>
      <c r="AP67" s="171">
        <f>IF(Y67=4,AE67,0)</f>
        <v>0</v>
      </c>
    </row>
    <row r="68" spans="1:50" ht="34.950000000000003" customHeight="1" thickBot="1" x14ac:dyDescent="0.25">
      <c r="A68" s="45"/>
      <c r="B68" s="330"/>
      <c r="C68" s="430"/>
      <c r="D68" s="431"/>
      <c r="E68" s="437"/>
      <c r="F68" s="427"/>
      <c r="G68" s="326" t="s">
        <v>315</v>
      </c>
      <c r="H68" s="460"/>
      <c r="I68" s="323"/>
      <c r="J68" s="324"/>
      <c r="K68" s="324"/>
      <c r="L68" s="324"/>
      <c r="M68" s="39" t="s">
        <v>256</v>
      </c>
      <c r="N68" s="324"/>
      <c r="O68" s="324"/>
      <c r="P68" s="324"/>
      <c r="Q68" s="325"/>
      <c r="R68" s="337" t="s">
        <v>259</v>
      </c>
      <c r="S68" s="450"/>
      <c r="V68" s="57">
        <f>IF(AND(I68&lt;&gt;"",N68&lt;&gt;""),1,0)</f>
        <v>0</v>
      </c>
      <c r="W68" s="65"/>
      <c r="X68" s="66"/>
      <c r="AB68" s="80"/>
      <c r="AC68" s="80"/>
      <c r="AE68" s="80"/>
      <c r="AG68" s="80"/>
      <c r="AH68" s="80"/>
    </row>
    <row r="69" spans="1:50" ht="34.950000000000003" customHeight="1" thickBot="1" x14ac:dyDescent="0.25">
      <c r="A69" s="45"/>
      <c r="B69" s="331"/>
      <c r="C69" s="438"/>
      <c r="D69" s="439"/>
      <c r="E69" s="437"/>
      <c r="F69" s="427"/>
      <c r="G69" s="495" t="s">
        <v>309</v>
      </c>
      <c r="H69" s="496"/>
      <c r="I69" s="323"/>
      <c r="J69" s="324"/>
      <c r="K69" s="324"/>
      <c r="L69" s="324"/>
      <c r="M69" s="39" t="s">
        <v>257</v>
      </c>
      <c r="N69" s="324"/>
      <c r="O69" s="324"/>
      <c r="P69" s="324"/>
      <c r="Q69" s="325"/>
      <c r="R69" s="338"/>
      <c r="S69" s="451"/>
      <c r="V69" s="57">
        <f>IF(AND(I69&lt;&gt;"",N69&lt;&gt;""),1,0)</f>
        <v>0</v>
      </c>
      <c r="W69" s="81"/>
      <c r="X69" s="66"/>
      <c r="AB69" s="80"/>
      <c r="AC69" s="80"/>
      <c r="AE69" s="80"/>
      <c r="AG69" s="80"/>
      <c r="AH69" s="80"/>
    </row>
    <row r="70" spans="1:50" s="12" customFormat="1" ht="19.95" customHeight="1" x14ac:dyDescent="0.2">
      <c r="A70" s="269"/>
      <c r="B70" s="322" t="s">
        <v>328</v>
      </c>
      <c r="C70" s="322"/>
      <c r="D70" s="322"/>
      <c r="E70" s="322"/>
      <c r="F70" s="322"/>
      <c r="G70" s="322"/>
      <c r="H70" s="322"/>
      <c r="I70" s="322"/>
      <c r="J70" s="322"/>
      <c r="K70" s="322"/>
      <c r="L70" s="322"/>
      <c r="M70" s="322"/>
      <c r="N70" s="322"/>
      <c r="O70" s="322"/>
      <c r="P70" s="322"/>
      <c r="Q70" s="322"/>
      <c r="R70" s="322"/>
      <c r="S70" s="322"/>
    </row>
    <row r="71" spans="1:50" s="260" customFormat="1" ht="16.95" customHeight="1" x14ac:dyDescent="0.2">
      <c r="A71" s="259"/>
      <c r="B71" s="328" t="s">
        <v>329</v>
      </c>
      <c r="C71" s="328"/>
      <c r="D71" s="328"/>
      <c r="E71" s="328"/>
      <c r="F71" s="328"/>
      <c r="G71" s="328"/>
      <c r="H71" s="328"/>
      <c r="I71" s="328"/>
      <c r="J71" s="328"/>
      <c r="K71" s="328"/>
      <c r="L71" s="328"/>
      <c r="M71" s="328"/>
      <c r="N71" s="328"/>
      <c r="O71" s="328"/>
      <c r="P71" s="328"/>
      <c r="Q71" s="328"/>
      <c r="R71" s="328"/>
      <c r="S71" s="328"/>
      <c r="AG71" s="261"/>
    </row>
    <row r="72" spans="1:50" s="260" customFormat="1" ht="16.95" customHeight="1" x14ac:dyDescent="0.2">
      <c r="A72" s="259"/>
      <c r="B72" s="328" t="s">
        <v>330</v>
      </c>
      <c r="C72" s="328"/>
      <c r="D72" s="328"/>
      <c r="E72" s="328"/>
      <c r="F72" s="328"/>
      <c r="G72" s="328"/>
      <c r="H72" s="328"/>
      <c r="I72" s="328"/>
      <c r="J72" s="328"/>
      <c r="K72" s="328"/>
      <c r="L72" s="328"/>
      <c r="M72" s="328"/>
      <c r="N72" s="328"/>
      <c r="O72" s="328"/>
      <c r="P72" s="328"/>
      <c r="Q72" s="328"/>
      <c r="R72" s="328"/>
      <c r="S72" s="328"/>
      <c r="AG72" s="261"/>
      <c r="AH72" s="261"/>
      <c r="AI72" s="261"/>
      <c r="AJ72" s="261"/>
      <c r="AK72" s="261"/>
    </row>
    <row r="73" spans="1:50" s="260" customFormat="1" ht="16.95" customHeight="1" x14ac:dyDescent="0.2">
      <c r="A73" s="259"/>
      <c r="B73" s="328" t="s">
        <v>393</v>
      </c>
      <c r="C73" s="328"/>
      <c r="D73" s="328"/>
      <c r="E73" s="328"/>
      <c r="F73" s="328"/>
      <c r="G73" s="328"/>
      <c r="H73" s="328"/>
      <c r="I73" s="328"/>
      <c r="J73" s="328"/>
      <c r="K73" s="328"/>
      <c r="L73" s="328"/>
      <c r="M73" s="328"/>
      <c r="N73" s="328"/>
      <c r="O73" s="328"/>
      <c r="P73" s="328"/>
      <c r="Q73" s="328"/>
      <c r="R73" s="328"/>
      <c r="S73" s="328"/>
      <c r="AG73" s="261"/>
      <c r="AH73" s="261"/>
      <c r="AI73" s="261"/>
      <c r="AJ73" s="261"/>
      <c r="AK73" s="261"/>
    </row>
    <row r="74" spans="1:50" s="260" customFormat="1" ht="24" customHeight="1" x14ac:dyDescent="0.2">
      <c r="A74" s="259"/>
      <c r="B74" s="328" t="s">
        <v>365</v>
      </c>
      <c r="C74" s="328"/>
      <c r="D74" s="328"/>
      <c r="E74" s="328"/>
      <c r="F74" s="328"/>
      <c r="G74" s="328"/>
      <c r="H74" s="328"/>
      <c r="I74" s="328"/>
      <c r="J74" s="328"/>
      <c r="K74" s="328"/>
      <c r="L74" s="328"/>
      <c r="M74" s="328"/>
      <c r="N74" s="328"/>
      <c r="O74" s="328"/>
      <c r="P74" s="328"/>
      <c r="Q74" s="328"/>
      <c r="R74" s="328"/>
      <c r="S74" s="328"/>
      <c r="V74" s="262"/>
      <c r="W74" s="262"/>
      <c r="X74" s="262"/>
      <c r="Y74" s="262"/>
      <c r="Z74" s="262"/>
      <c r="AA74" s="262"/>
      <c r="AB74" s="262"/>
      <c r="AC74" s="263"/>
      <c r="AE74" s="264"/>
      <c r="AF74" s="265"/>
      <c r="AG74" s="266"/>
      <c r="AH74" s="267"/>
      <c r="AM74" s="268"/>
    </row>
    <row r="75" spans="1:50" ht="14.25" customHeight="1" x14ac:dyDescent="0.2">
      <c r="A75" s="45"/>
      <c r="B75" s="85" t="s">
        <v>247</v>
      </c>
      <c r="C75" s="86"/>
      <c r="D75" s="86"/>
      <c r="E75" s="86"/>
      <c r="F75" s="86"/>
      <c r="G75" s="86"/>
      <c r="H75" s="86"/>
      <c r="I75" s="86"/>
      <c r="J75" s="86"/>
      <c r="K75" s="86"/>
      <c r="L75" s="86"/>
      <c r="M75" s="86"/>
      <c r="N75" s="86"/>
      <c r="O75" s="86"/>
      <c r="P75" s="86"/>
      <c r="Q75" s="86"/>
      <c r="S75" s="47" t="s">
        <v>239</v>
      </c>
      <c r="AM75" s="16" t="s">
        <v>165</v>
      </c>
      <c r="AN75" s="83"/>
      <c r="AO75" s="83"/>
      <c r="AP75" s="83"/>
    </row>
    <row r="76" spans="1:50" ht="16.5" customHeight="1" thickBot="1" x14ac:dyDescent="0.25">
      <c r="A76" s="45"/>
      <c r="B76" s="346" t="s">
        <v>140</v>
      </c>
      <c r="C76" s="346"/>
      <c r="D76" s="346"/>
      <c r="E76" s="347" t="str">
        <f>E49</f>
        <v>第○○-○○○○○-○○○○号 ○○○○○○○○○○○○工事</v>
      </c>
      <c r="F76" s="347"/>
      <c r="G76" s="347"/>
      <c r="H76" s="347"/>
      <c r="I76" s="347"/>
      <c r="J76" s="347"/>
      <c r="K76" s="347"/>
      <c r="L76" s="347"/>
      <c r="M76" s="347"/>
      <c r="N76" s="347"/>
      <c r="O76" s="347"/>
      <c r="P76" s="347"/>
      <c r="Q76" s="347"/>
      <c r="R76" s="347"/>
      <c r="V76" s="66"/>
      <c r="W76" s="66"/>
      <c r="X76" s="66"/>
      <c r="AE76" s="75"/>
      <c r="AF76" s="78"/>
      <c r="AJ76" s="57">
        <v>0</v>
      </c>
      <c r="AK76" s="112"/>
      <c r="AL76" s="112"/>
      <c r="AM76" s="23">
        <v>0</v>
      </c>
      <c r="AX76" s="66"/>
    </row>
    <row r="77" spans="1:50" ht="16.5" customHeight="1" thickBot="1" x14ac:dyDescent="0.25">
      <c r="A77" s="45"/>
      <c r="B77" s="48"/>
      <c r="C77" s="48"/>
      <c r="D77" s="49" t="s">
        <v>141</v>
      </c>
      <c r="E77" s="50" t="str">
        <f>E50</f>
        <v>○○・△△特定建設工事共同企業体</v>
      </c>
      <c r="F77" s="45"/>
      <c r="G77" s="45"/>
      <c r="H77" s="45"/>
      <c r="I77" s="45"/>
      <c r="J77" s="45"/>
      <c r="K77" s="45"/>
      <c r="L77" s="45"/>
      <c r="M77" s="45"/>
      <c r="N77" s="45"/>
      <c r="O77" s="45"/>
      <c r="P77" s="45"/>
      <c r="Q77" s="45"/>
      <c r="R77" s="45"/>
      <c r="S77" s="45"/>
      <c r="V77" s="21">
        <f>IF(K79="",0,1)</f>
        <v>0</v>
      </c>
      <c r="W77" s="27" t="s">
        <v>334</v>
      </c>
      <c r="Z77" s="16" t="s">
        <v>276</v>
      </c>
      <c r="AA77" s="57"/>
      <c r="AB77" s="16" t="s">
        <v>277</v>
      </c>
      <c r="AE77" s="87"/>
      <c r="AF77" s="88"/>
      <c r="AG77" s="89"/>
      <c r="AJ77" s="57">
        <v>42</v>
      </c>
      <c r="AK77" s="57" t="s">
        <v>145</v>
      </c>
      <c r="AL77" s="57" t="s">
        <v>171</v>
      </c>
      <c r="AM77" s="23">
        <v>5</v>
      </c>
      <c r="AP77" s="168" t="s">
        <v>168</v>
      </c>
      <c r="AX77" s="66"/>
    </row>
    <row r="78" spans="1:50" ht="22.5" customHeight="1" thickBot="1" x14ac:dyDescent="0.25">
      <c r="A78" s="45"/>
      <c r="B78" s="345" t="s">
        <v>347</v>
      </c>
      <c r="C78" s="345"/>
      <c r="D78" s="345"/>
      <c r="E78" s="51" t="s">
        <v>170</v>
      </c>
      <c r="F78" s="52" t="s">
        <v>1</v>
      </c>
      <c r="G78" s="455" t="s">
        <v>327</v>
      </c>
      <c r="H78" s="456"/>
      <c r="I78" s="456"/>
      <c r="J78" s="456"/>
      <c r="K78" s="456"/>
      <c r="L78" s="456"/>
      <c r="M78" s="456"/>
      <c r="N78" s="456"/>
      <c r="O78" s="456"/>
      <c r="P78" s="456"/>
      <c r="Q78" s="456"/>
      <c r="R78" s="456"/>
      <c r="S78" s="457"/>
      <c r="V78" s="57">
        <f>IF(OR(R79=リスト!O4),1,0)</f>
        <v>0</v>
      </c>
      <c r="W78" s="59">
        <f>V77</f>
        <v>0</v>
      </c>
      <c r="X78" s="21">
        <f>SUM(V78:W78)</f>
        <v>0</v>
      </c>
      <c r="Y78" s="22" t="s">
        <v>275</v>
      </c>
      <c r="Z78" s="23">
        <v>0.5</v>
      </c>
      <c r="AA78" s="57">
        <f>Z78*V78</f>
        <v>0</v>
      </c>
      <c r="AB78" s="206" t="str">
        <f>IF(V77=1,MAX(AA78:AA79),"-")</f>
        <v>-</v>
      </c>
      <c r="AC78" s="90" t="s">
        <v>207</v>
      </c>
      <c r="AE78" s="91">
        <v>1</v>
      </c>
      <c r="AF78" s="92">
        <f>V80*AE78</f>
        <v>0</v>
      </c>
      <c r="AG78" s="93">
        <f>IF('1.基本データ(このシートは削除しないこと！)'!H16=1,MAX(AF78:AF79),"-")</f>
        <v>0</v>
      </c>
      <c r="AJ78" s="57">
        <v>41</v>
      </c>
      <c r="AK78" s="57" t="s">
        <v>145</v>
      </c>
      <c r="AL78" s="57" t="s">
        <v>25</v>
      </c>
      <c r="AM78" s="23">
        <v>4</v>
      </c>
      <c r="AP78" s="172"/>
      <c r="AX78" s="84"/>
    </row>
    <row r="79" spans="1:50" ht="34.950000000000003" customHeight="1" thickBot="1" x14ac:dyDescent="0.25">
      <c r="A79" s="45"/>
      <c r="B79" s="329" t="s">
        <v>191</v>
      </c>
      <c r="C79" s="326" t="s">
        <v>262</v>
      </c>
      <c r="D79" s="327"/>
      <c r="E79" s="40">
        <f>Z78</f>
        <v>0.5</v>
      </c>
      <c r="F79" s="77" t="str">
        <f>AQ81</f>
        <v>-</v>
      </c>
      <c r="G79" s="502" t="s">
        <v>397</v>
      </c>
      <c r="H79" s="503"/>
      <c r="I79" s="332" t="s">
        <v>342</v>
      </c>
      <c r="J79" s="333"/>
      <c r="K79" s="497"/>
      <c r="L79" s="498"/>
      <c r="M79" s="498"/>
      <c r="N79" s="498"/>
      <c r="O79" s="498"/>
      <c r="P79" s="498"/>
      <c r="Q79" s="499"/>
      <c r="R79" s="313" t="s">
        <v>169</v>
      </c>
      <c r="S79" s="315"/>
      <c r="V79" s="57">
        <f>IF(OR(R79=リスト!O5),1,0)</f>
        <v>0</v>
      </c>
      <c r="W79" s="59">
        <f>V77</f>
        <v>0</v>
      </c>
      <c r="X79" s="21">
        <f>SUM(V79:W79)</f>
        <v>0</v>
      </c>
      <c r="Y79" s="22" t="s">
        <v>275</v>
      </c>
      <c r="Z79" s="57">
        <v>0.25</v>
      </c>
      <c r="AA79" s="57">
        <f>Z79*V79</f>
        <v>0</v>
      </c>
      <c r="AB79" s="206" t="str">
        <f>IF(V77=1,MAX(AA78:AA79),"-")</f>
        <v>-</v>
      </c>
      <c r="AC79" s="94" t="s">
        <v>208</v>
      </c>
      <c r="AE79" s="95">
        <v>0.5</v>
      </c>
      <c r="AF79" s="96">
        <f>W80*AE79</f>
        <v>0</v>
      </c>
      <c r="AG79" s="97" t="str">
        <f>IF('1.基本データ(このシートは削除しないこと！)'!H16=10,AF79,"-")</f>
        <v>-</v>
      </c>
      <c r="AJ79" s="57">
        <v>40</v>
      </c>
      <c r="AK79" s="57" t="s">
        <v>145</v>
      </c>
      <c r="AL79" s="57" t="s">
        <v>3</v>
      </c>
      <c r="AM79" s="23">
        <v>3</v>
      </c>
      <c r="AP79" s="172"/>
      <c r="AX79" s="84"/>
    </row>
    <row r="80" spans="1:50" ht="34.950000000000003" customHeight="1" thickBot="1" x14ac:dyDescent="0.25">
      <c r="A80" s="45"/>
      <c r="B80" s="330"/>
      <c r="C80" s="335" t="s">
        <v>331</v>
      </c>
      <c r="D80" s="336"/>
      <c r="E80" s="182">
        <f>AE78</f>
        <v>1</v>
      </c>
      <c r="F80" s="180" t="str">
        <f>AQ82</f>
        <v>-</v>
      </c>
      <c r="G80" s="500" t="s">
        <v>387</v>
      </c>
      <c r="H80" s="501"/>
      <c r="I80" s="334" t="s">
        <v>343</v>
      </c>
      <c r="J80" s="334"/>
      <c r="K80" s="319" t="s">
        <v>169</v>
      </c>
      <c r="L80" s="320"/>
      <c r="M80" s="320"/>
      <c r="N80" s="320"/>
      <c r="O80" s="320"/>
      <c r="P80" s="320"/>
      <c r="Q80" s="320"/>
      <c r="R80" s="320"/>
      <c r="S80" s="321"/>
      <c r="V80" s="57">
        <f>IF(AND('1.基本データ(このシートは削除しないこと！)'!$H$16=1,'2.様式第1号、第11号-1(特別簡易型)'!$K$80=リスト!K9),1,0)</f>
        <v>0</v>
      </c>
      <c r="W80" s="57">
        <f>IF(AND('1.基本データ(このシートは削除しないこと！)'!$H$16=1,'2.様式第1号、第11号-1(特別簡易型)'!$K$80=リスト!K10),1,0)</f>
        <v>0</v>
      </c>
      <c r="X80" s="57">
        <f>IF(AND('1.基本データ(このシートは削除しないこと！)'!$H$16&gt;1,'2.様式第1号、第11号-1(特別簡易型)'!$K$80=リスト!K11),1,0)</f>
        <v>0</v>
      </c>
      <c r="Y80" s="27">
        <f>SUM(V80:X80)</f>
        <v>0</v>
      </c>
      <c r="Z80" s="99" t="s">
        <v>206</v>
      </c>
      <c r="AC80" s="100" t="s">
        <v>209</v>
      </c>
      <c r="AE80" s="95">
        <v>1</v>
      </c>
      <c r="AF80" s="96">
        <f>X80*AE80</f>
        <v>0</v>
      </c>
      <c r="AG80" s="97" t="str">
        <f>IF('1.基本データ(このシートは削除しないこと！)'!H16&gt;1,AF80,"-")</f>
        <v>-</v>
      </c>
      <c r="AJ80" s="57">
        <v>32</v>
      </c>
      <c r="AK80" s="57" t="s">
        <v>146</v>
      </c>
      <c r="AL80" s="57" t="s">
        <v>171</v>
      </c>
      <c r="AM80" s="23">
        <v>3</v>
      </c>
      <c r="AQ80" s="168" t="s">
        <v>168</v>
      </c>
      <c r="AS80" s="83" t="s">
        <v>194</v>
      </c>
      <c r="AT80" s="151"/>
      <c r="AX80" s="84"/>
    </row>
    <row r="81" spans="1:60" ht="32.1" customHeight="1" thickBot="1" x14ac:dyDescent="0.25">
      <c r="A81" s="45"/>
      <c r="B81" s="330"/>
      <c r="C81" s="352" t="s">
        <v>274</v>
      </c>
      <c r="D81" s="360"/>
      <c r="E81" s="365">
        <f>AM77</f>
        <v>5</v>
      </c>
      <c r="F81" s="368" t="str">
        <f>IF(OR(K82="-",K83="-"),"-",AQ88)</f>
        <v>-</v>
      </c>
      <c r="G81" s="379" t="s">
        <v>214</v>
      </c>
      <c r="H81" s="380"/>
      <c r="I81" s="380"/>
      <c r="J81" s="380"/>
      <c r="K81" s="380"/>
      <c r="L81" s="380"/>
      <c r="M81" s="380"/>
      <c r="N81" s="380"/>
      <c r="O81" s="380"/>
      <c r="P81" s="380"/>
      <c r="Q81" s="381"/>
      <c r="R81" s="505" t="s">
        <v>398</v>
      </c>
      <c r="S81" s="506"/>
      <c r="Z81" s="161" t="s">
        <v>228</v>
      </c>
      <c r="AA81" s="162"/>
      <c r="AB81" s="162"/>
      <c r="AC81" s="162"/>
      <c r="AE81" s="163" t="s">
        <v>149</v>
      </c>
      <c r="AF81" s="162"/>
      <c r="AG81" s="162"/>
      <c r="AJ81" s="57">
        <v>31</v>
      </c>
      <c r="AK81" s="57" t="s">
        <v>146</v>
      </c>
      <c r="AL81" s="57" t="s">
        <v>25</v>
      </c>
      <c r="AM81" s="23">
        <v>2</v>
      </c>
      <c r="AO81" s="98" t="s">
        <v>202</v>
      </c>
      <c r="AQ81" s="207" t="str">
        <f>IF(V77=1,MAX(AB78:AB79),"-")</f>
        <v>-</v>
      </c>
      <c r="AS81" s="16" t="s">
        <v>217</v>
      </c>
      <c r="AT81" s="167" t="s">
        <v>149</v>
      </c>
      <c r="AX81" s="84"/>
    </row>
    <row r="82" spans="1:60" ht="32.1" customHeight="1" thickBot="1" x14ac:dyDescent="0.25">
      <c r="A82" s="45"/>
      <c r="B82" s="330"/>
      <c r="C82" s="361"/>
      <c r="D82" s="362"/>
      <c r="E82" s="366"/>
      <c r="F82" s="369"/>
      <c r="G82" s="383" t="s">
        <v>263</v>
      </c>
      <c r="H82" s="384"/>
      <c r="I82" s="334" t="s">
        <v>343</v>
      </c>
      <c r="J82" s="334"/>
      <c r="K82" s="316" t="s">
        <v>169</v>
      </c>
      <c r="L82" s="317"/>
      <c r="M82" s="317"/>
      <c r="N82" s="317"/>
      <c r="O82" s="317"/>
      <c r="P82" s="317"/>
      <c r="Q82" s="318"/>
      <c r="R82" s="505"/>
      <c r="S82" s="506"/>
      <c r="T82" s="103"/>
      <c r="U82" s="103"/>
      <c r="V82" s="8" t="s">
        <v>210</v>
      </c>
      <c r="W82" s="104" t="str">
        <f>VLOOKUP(K82,リスト2!$C$3:$E$65,2,FALSE)</f>
        <v>-</v>
      </c>
      <c r="X82" s="105"/>
      <c r="Z82" s="106" t="s">
        <v>150</v>
      </c>
      <c r="AA82" s="107" t="s">
        <v>310</v>
      </c>
      <c r="AB82" s="107" t="s">
        <v>223</v>
      </c>
      <c r="AC82" s="108">
        <f>IF(K82="-",0,MAX(AC83:AC86))</f>
        <v>0</v>
      </c>
      <c r="AE82" s="106" t="s">
        <v>150</v>
      </c>
      <c r="AF82" s="107" t="s">
        <v>223</v>
      </c>
      <c r="AG82" s="108">
        <f>IF(K85="-",0,MAX(AG83:AG86))</f>
        <v>0</v>
      </c>
      <c r="AH82" s="21">
        <f>AC82-AG82</f>
        <v>0</v>
      </c>
      <c r="AJ82" s="57">
        <v>30</v>
      </c>
      <c r="AK82" s="57" t="s">
        <v>146</v>
      </c>
      <c r="AL82" s="57" t="s">
        <v>3</v>
      </c>
      <c r="AM82" s="23">
        <v>1.5</v>
      </c>
      <c r="AO82" s="98" t="s">
        <v>202</v>
      </c>
      <c r="AQ82" s="172" t="str">
        <f>IF(Y80=1,MAX(AG78:AG80),"-")</f>
        <v>-</v>
      </c>
      <c r="AS82" s="35">
        <f>IF($W84="同一市町村",1,10)</f>
        <v>10</v>
      </c>
      <c r="AT82" s="35">
        <f>IF($W87="同一市町村",1,10)</f>
        <v>10</v>
      </c>
    </row>
    <row r="83" spans="1:60" ht="32.1" customHeight="1" thickBot="1" x14ac:dyDescent="0.25">
      <c r="A83" s="45"/>
      <c r="B83" s="330"/>
      <c r="C83" s="361"/>
      <c r="D83" s="362"/>
      <c r="E83" s="366"/>
      <c r="F83" s="369"/>
      <c r="G83" s="504" t="s">
        <v>264</v>
      </c>
      <c r="H83" s="477"/>
      <c r="I83" s="334" t="s">
        <v>343</v>
      </c>
      <c r="J83" s="334"/>
      <c r="K83" s="313" t="s">
        <v>169</v>
      </c>
      <c r="L83" s="314"/>
      <c r="M83" s="314"/>
      <c r="N83" s="314"/>
      <c r="O83" s="314"/>
      <c r="P83" s="314"/>
      <c r="Q83" s="315"/>
      <c r="R83" s="505"/>
      <c r="S83" s="506"/>
      <c r="T83" s="103"/>
      <c r="U83" s="103"/>
      <c r="V83" s="8" t="s">
        <v>211</v>
      </c>
      <c r="W83" s="104" t="str">
        <f>VLOOKUP(K82,リスト2!$C$3:$E$65,3,FALSE)</f>
        <v>-</v>
      </c>
      <c r="X83" s="105"/>
      <c r="Z83" s="79">
        <f>IF(OR(K82='1.基本データ(このシートは削除しないこと！)'!D19,K82='1.基本データ(このシートは削除しないこと！)'!E19),40,0)</f>
        <v>40</v>
      </c>
      <c r="AA83" s="79">
        <f>IF(OR(K83="本店"),2,0)</f>
        <v>0</v>
      </c>
      <c r="AB83" s="79">
        <f>IF(OR(K83="準本店"),1,0)</f>
        <v>0</v>
      </c>
      <c r="AC83" s="79">
        <f>SUM(Z83:AB83)</f>
        <v>40</v>
      </c>
      <c r="AD83" s="27" t="s">
        <v>153</v>
      </c>
      <c r="AE83" s="79">
        <f>IF(OR(K85='1.基本データ(このシートは削除しないこと！)'!D19,'2.様式第1号、第11号-1(特別簡易型)'!K85='1.基本データ(このシートは削除しないこと！)'!E19),40,0)</f>
        <v>40</v>
      </c>
      <c r="AF83" s="79">
        <f>IF(K86="準本店",1,0)</f>
        <v>0</v>
      </c>
      <c r="AG83" s="79">
        <f>SUM(AE83:AF83)</f>
        <v>40</v>
      </c>
      <c r="AH83" s="27" t="s">
        <v>153</v>
      </c>
      <c r="AJ83" s="57">
        <v>22</v>
      </c>
      <c r="AK83" s="57" t="s">
        <v>147</v>
      </c>
      <c r="AL83" s="57" t="s">
        <v>171</v>
      </c>
      <c r="AM83" s="23">
        <v>2</v>
      </c>
      <c r="AO83" s="187" t="e">
        <f>VLOOKUP(AC82,AJ77:AL88,3,FALSE)</f>
        <v>#N/A</v>
      </c>
      <c r="AS83" s="35">
        <f>IF($W84="同一土木",2,10)</f>
        <v>10</v>
      </c>
      <c r="AT83" s="101">
        <f>IF($W87="同一土木",2,10)</f>
        <v>10</v>
      </c>
      <c r="AU83" s="102"/>
      <c r="AV83" s="83"/>
    </row>
    <row r="84" spans="1:60" ht="32.1" customHeight="1" thickBot="1" x14ac:dyDescent="0.25">
      <c r="A84" s="45"/>
      <c r="B84" s="330"/>
      <c r="C84" s="361"/>
      <c r="D84" s="362"/>
      <c r="E84" s="366"/>
      <c r="F84" s="369"/>
      <c r="G84" s="379" t="s">
        <v>226</v>
      </c>
      <c r="H84" s="380"/>
      <c r="I84" s="380"/>
      <c r="J84" s="380"/>
      <c r="K84" s="380"/>
      <c r="L84" s="380"/>
      <c r="M84" s="380"/>
      <c r="N84" s="380"/>
      <c r="O84" s="380"/>
      <c r="P84" s="380"/>
      <c r="Q84" s="381"/>
      <c r="R84" s="505"/>
      <c r="S84" s="506"/>
      <c r="T84" s="103"/>
      <c r="U84" s="103"/>
      <c r="V84" s="8" t="s">
        <v>215</v>
      </c>
      <c r="W84" s="9" t="str">
        <f>IF(K82="-","-",VLOOKUP($AC$82,AJ76:AM88,2,FALSE))</f>
        <v>-</v>
      </c>
      <c r="X84" s="9" t="str">
        <f>IF(K83="本店","本店",IF(K83="準本店","準本店","支店等"))</f>
        <v>支店等</v>
      </c>
      <c r="Z84" s="57">
        <f>IF(OR(W82='1.基本データ(このシートは削除しないこと！)'!D20,W82='1.基本データ(このシートは削除しないこと！)'!E20),30,0)</f>
        <v>30</v>
      </c>
      <c r="AA84" s="57">
        <f>IF(OR(K83="本店"),2,0)</f>
        <v>0</v>
      </c>
      <c r="AB84" s="57">
        <f>IF(OR(K83="準本店"),1,0)</f>
        <v>0</v>
      </c>
      <c r="AC84" s="79">
        <f t="shared" ref="AC84:AC86" si="3">SUM(Z84:AB84)</f>
        <v>30</v>
      </c>
      <c r="AD84" s="27" t="s">
        <v>154</v>
      </c>
      <c r="AE84" s="57">
        <f>IF(OR(W85='1.基本データ(このシートは削除しないこと！)'!D20,'2.様式第1号、第11号-1(特別簡易型)'!W85='1.基本データ(このシートは削除しないこと！)'!E20),30,0)</f>
        <v>30</v>
      </c>
      <c r="AF84" s="79">
        <f>IF(K86="準本店",1,0)</f>
        <v>0</v>
      </c>
      <c r="AG84" s="79">
        <f>SUM(AE84:AF84)</f>
        <v>30</v>
      </c>
      <c r="AH84" s="27" t="s">
        <v>154</v>
      </c>
      <c r="AJ84" s="57">
        <v>21</v>
      </c>
      <c r="AK84" s="57" t="s">
        <v>147</v>
      </c>
      <c r="AL84" s="57" t="s">
        <v>25</v>
      </c>
      <c r="AM84" s="23">
        <v>1</v>
      </c>
      <c r="AO84" s="188" t="s">
        <v>148</v>
      </c>
      <c r="AP84" s="189"/>
      <c r="AS84" s="35">
        <f>IF($W84="同一建設",3,10)</f>
        <v>10</v>
      </c>
      <c r="AT84" s="35">
        <f>IF($W87="同一建設",3,10)</f>
        <v>10</v>
      </c>
    </row>
    <row r="85" spans="1:60" ht="32.1" customHeight="1" thickBot="1" x14ac:dyDescent="0.25">
      <c r="A85" s="45"/>
      <c r="B85" s="330"/>
      <c r="C85" s="361"/>
      <c r="D85" s="362"/>
      <c r="E85" s="366"/>
      <c r="F85" s="369"/>
      <c r="G85" s="383" t="s">
        <v>265</v>
      </c>
      <c r="H85" s="384"/>
      <c r="I85" s="334" t="s">
        <v>343</v>
      </c>
      <c r="J85" s="334"/>
      <c r="K85" s="316" t="s">
        <v>169</v>
      </c>
      <c r="L85" s="317"/>
      <c r="M85" s="317"/>
      <c r="N85" s="317"/>
      <c r="O85" s="317"/>
      <c r="P85" s="317"/>
      <c r="Q85" s="318"/>
      <c r="R85" s="505"/>
      <c r="S85" s="506"/>
      <c r="T85" s="103"/>
      <c r="U85" s="103"/>
      <c r="V85" s="8" t="s">
        <v>216</v>
      </c>
      <c r="W85" s="104" t="str">
        <f>VLOOKUP(K85,リスト2!$C$3:$E$65,2,FALSE)</f>
        <v>-</v>
      </c>
      <c r="X85" s="104" t="str">
        <f>IF(K86="準本店","準本店","-")</f>
        <v>-</v>
      </c>
      <c r="Z85" s="57">
        <f>IF(OR(W83='1.基本データ(このシートは削除しないこと！)'!D21,W83='1.基本データ(このシートは削除しないこと！)'!E21),20,0)</f>
        <v>20</v>
      </c>
      <c r="AA85" s="57">
        <f>IF(OR(K83="本店"),2,0)</f>
        <v>0</v>
      </c>
      <c r="AB85" s="57">
        <f>IF(OR(K83="準本店"),1,0)</f>
        <v>0</v>
      </c>
      <c r="AC85" s="79">
        <f t="shared" si="3"/>
        <v>20</v>
      </c>
      <c r="AD85" s="27" t="s">
        <v>155</v>
      </c>
      <c r="AE85" s="57">
        <f>IF(OR(W86='1.基本データ(このシートは削除しないこと！)'!D21,'2.様式第1号、第11号-1(特別簡易型)'!W86='1.基本データ(このシートは削除しないこと！)'!E21),20,0)</f>
        <v>20</v>
      </c>
      <c r="AF85" s="57">
        <f>IF(K86="準本店",1,0)</f>
        <v>0</v>
      </c>
      <c r="AG85" s="79">
        <f>SUM(AE85:AF85)</f>
        <v>20</v>
      </c>
      <c r="AH85" s="27" t="s">
        <v>155</v>
      </c>
      <c r="AJ85" s="57">
        <v>20</v>
      </c>
      <c r="AK85" s="57" t="s">
        <v>147</v>
      </c>
      <c r="AL85" s="57" t="s">
        <v>3</v>
      </c>
      <c r="AM85" s="23">
        <v>0.5</v>
      </c>
      <c r="AO85" s="190" t="s">
        <v>151</v>
      </c>
      <c r="AP85" s="190" t="s">
        <v>149</v>
      </c>
      <c r="AS85" s="35">
        <f>IF($W84="県内",4,10)</f>
        <v>10</v>
      </c>
      <c r="AT85" s="35">
        <f>IF($W87="県内",4,10)</f>
        <v>10</v>
      </c>
    </row>
    <row r="86" spans="1:60" ht="32.1" customHeight="1" thickTop="1" thickBot="1" x14ac:dyDescent="0.25">
      <c r="A86" s="45"/>
      <c r="B86" s="330"/>
      <c r="C86" s="361"/>
      <c r="D86" s="362"/>
      <c r="E86" s="366"/>
      <c r="F86" s="369"/>
      <c r="G86" s="382" t="s">
        <v>266</v>
      </c>
      <c r="H86" s="349"/>
      <c r="I86" s="334" t="s">
        <v>343</v>
      </c>
      <c r="J86" s="334"/>
      <c r="K86" s="313" t="s">
        <v>169</v>
      </c>
      <c r="L86" s="314"/>
      <c r="M86" s="314"/>
      <c r="N86" s="314"/>
      <c r="O86" s="314"/>
      <c r="P86" s="314"/>
      <c r="Q86" s="315"/>
      <c r="R86" s="505"/>
      <c r="S86" s="506"/>
      <c r="T86" s="111"/>
      <c r="U86" s="111"/>
      <c r="V86" s="8" t="s">
        <v>211</v>
      </c>
      <c r="W86" s="104" t="str">
        <f>VLOOKUP(K85,リスト2!$C$3:$E$65,3,FALSE)</f>
        <v>-</v>
      </c>
      <c r="X86" s="104" t="str">
        <f>IF(K86="準本店","準本店","-")</f>
        <v>-</v>
      </c>
      <c r="Z86" s="57">
        <f>IF(OR(W83='1.基本データ(このシートは削除しないこと！)'!D21,W83='1.基本データ(このシートは削除しないこと！)'!E21),0,10)</f>
        <v>0</v>
      </c>
      <c r="AA86" s="57">
        <f>IF(OR(K83="本店"),2,0)</f>
        <v>0</v>
      </c>
      <c r="AB86" s="57">
        <f>IF(OR(K83="準本店"),1,0)</f>
        <v>0</v>
      </c>
      <c r="AC86" s="79">
        <f t="shared" si="3"/>
        <v>0</v>
      </c>
      <c r="AD86" s="27" t="s">
        <v>152</v>
      </c>
      <c r="AE86" s="57">
        <f>IF(OR(W86='1.基本データ(このシートは削除しないこと！)'!D21,'2.様式第1号、第11号-1(特別簡易型)'!W86='1.基本データ(このシートは削除しないこと！)'!E21),0,10)</f>
        <v>0</v>
      </c>
      <c r="AF86" s="57">
        <f>IF(K86="準本店",1,0)</f>
        <v>0</v>
      </c>
      <c r="AG86" s="57">
        <f>SUM(AE86:AF86)</f>
        <v>0</v>
      </c>
      <c r="AH86" s="27" t="s">
        <v>152</v>
      </c>
      <c r="AJ86" s="57">
        <v>12</v>
      </c>
      <c r="AK86" s="57" t="s">
        <v>4</v>
      </c>
      <c r="AL86" s="57" t="s">
        <v>171</v>
      </c>
      <c r="AM86" s="23">
        <v>2</v>
      </c>
      <c r="AN86" s="191" t="s">
        <v>281</v>
      </c>
      <c r="AO86" s="23" t="e">
        <f>IF(AND('1.基本データ(このシートは削除しないこと！)'!H17=2,AC82&gt;=30),VLOOKUP($AC$82,$AJ$76:$AM$82,4,0),0)</f>
        <v>#N/A</v>
      </c>
      <c r="AP86" s="23" t="e">
        <f>IF(AND('1.基本データ(このシートは削除しないこと！)'!H17=2,AG82&gt;=30),VLOOKUP($AG$82,$AJ$76:$AM$82,4,0),0)</f>
        <v>#N/A</v>
      </c>
      <c r="AS86" s="109">
        <f>MIN(AS82:AS85)</f>
        <v>10</v>
      </c>
      <c r="AT86" s="109">
        <f>MIN(AT82:AT85)</f>
        <v>10</v>
      </c>
      <c r="AU86" s="84"/>
      <c r="AV86" s="110"/>
    </row>
    <row r="87" spans="1:60" ht="19.95" customHeight="1" thickBot="1" x14ac:dyDescent="0.25">
      <c r="A87" s="45"/>
      <c r="B87" s="330"/>
      <c r="C87" s="361"/>
      <c r="D87" s="362"/>
      <c r="E87" s="366"/>
      <c r="F87" s="369"/>
      <c r="G87" s="388" t="s">
        <v>267</v>
      </c>
      <c r="H87" s="389"/>
      <c r="I87" s="389"/>
      <c r="J87" s="258"/>
      <c r="K87" s="373" t="str">
        <f>IF(K82="-","-",W88)</f>
        <v>-</v>
      </c>
      <c r="L87" s="374"/>
      <c r="M87" s="374"/>
      <c r="N87" s="374"/>
      <c r="O87" s="374"/>
      <c r="P87" s="374"/>
      <c r="Q87" s="375"/>
      <c r="R87" s="505"/>
      <c r="S87" s="506"/>
      <c r="T87" s="111"/>
      <c r="U87" s="111"/>
      <c r="V87" s="10" t="s">
        <v>215</v>
      </c>
      <c r="W87" s="11" t="str">
        <f>IF(K85="-","-",VLOOKUP(AG82,AJ76:AM88,2,FALSE))</f>
        <v>-</v>
      </c>
      <c r="X87" s="11" t="str">
        <f>IF(K85="-","-",VLOOKUP($AG$82,AJ76:AM87,3,FALSE))</f>
        <v>-</v>
      </c>
      <c r="Y87" s="113"/>
      <c r="Z87" s="114"/>
      <c r="AE87" s="66"/>
      <c r="AF87" s="66"/>
      <c r="AG87" s="66"/>
      <c r="AH87" s="98"/>
      <c r="AJ87" s="57">
        <v>11</v>
      </c>
      <c r="AK87" s="57" t="s">
        <v>4</v>
      </c>
      <c r="AL87" s="57" t="s">
        <v>25</v>
      </c>
      <c r="AM87" s="23">
        <v>1</v>
      </c>
      <c r="AN87" s="191" t="s">
        <v>282</v>
      </c>
      <c r="AO87" s="23" t="e">
        <f>IF(AND('1.基本データ(このシートは削除しないこと！)'!H17=3,AC82&gt;=20),VLOOKUP($AC$82,$AJ$76:$AM$85,4,0),0)</f>
        <v>#N/A</v>
      </c>
      <c r="AP87" s="23" t="e">
        <f>IF(AND('1.基本データ(このシートは削除しないこと！)'!H17=3,AG82&gt;=20),VLOOKUP($AG82,$AJ$76:$AM$85,4,0),0)</f>
        <v>#N/A</v>
      </c>
      <c r="AQ87" s="173" t="s">
        <v>168</v>
      </c>
      <c r="AT87" s="35">
        <f>MIN(AS86:AT86)</f>
        <v>10</v>
      </c>
      <c r="AU87" s="83" t="s">
        <v>195</v>
      </c>
    </row>
    <row r="88" spans="1:60" ht="19.95" customHeight="1" thickBot="1" x14ac:dyDescent="0.25">
      <c r="A88" s="45"/>
      <c r="B88" s="331"/>
      <c r="C88" s="363"/>
      <c r="D88" s="364"/>
      <c r="E88" s="367"/>
      <c r="F88" s="370"/>
      <c r="G88" s="390" t="s">
        <v>344</v>
      </c>
      <c r="H88" s="391"/>
      <c r="I88" s="391"/>
      <c r="J88" s="392"/>
      <c r="K88" s="376" t="str">
        <f>IF(K83="-","-",X88)</f>
        <v>-</v>
      </c>
      <c r="L88" s="377"/>
      <c r="M88" s="377"/>
      <c r="N88" s="377"/>
      <c r="O88" s="377"/>
      <c r="P88" s="377"/>
      <c r="Q88" s="378"/>
      <c r="R88" s="507"/>
      <c r="S88" s="508"/>
      <c r="T88" s="111"/>
      <c r="U88" s="111"/>
      <c r="V88" s="8" t="s">
        <v>227</v>
      </c>
      <c r="W88" s="115" t="str">
        <f>IF(AH82&gt;=0,W84,W87)</f>
        <v>-</v>
      </c>
      <c r="X88" s="115" t="str">
        <f>IF(AH82&gt;=0,X84,X87)</f>
        <v>支店等</v>
      </c>
      <c r="Y88" s="116"/>
      <c r="Z88" s="114"/>
      <c r="AE88" s="66"/>
      <c r="AF88" s="66"/>
      <c r="AG88" s="66"/>
      <c r="AH88" s="98"/>
      <c r="AJ88" s="57">
        <v>10</v>
      </c>
      <c r="AK88" s="57" t="s">
        <v>4</v>
      </c>
      <c r="AL88" s="57" t="s">
        <v>3</v>
      </c>
      <c r="AM88" s="23">
        <v>0.5</v>
      </c>
      <c r="AN88" s="191" t="s">
        <v>283</v>
      </c>
      <c r="AO88" s="23" t="e">
        <f>IF(AND('1.基本データ(このシートは削除しないこと！)'!H17=4,AC82&gt;=10),VLOOKUP($AC$82,$AJ$76:$AM$88,4,0),0)</f>
        <v>#N/A</v>
      </c>
      <c r="AP88" s="23" t="e">
        <f>IF(AND('1.基本データ(このシートは削除しないこと！)'!H17=4,AG82&gt;=10),VLOOKUP($AG$82,$AJ$76:$AM$88,4,0),0)</f>
        <v>#N/A</v>
      </c>
      <c r="AQ88" s="192" t="e">
        <f>MAX(AO86:AP88)</f>
        <v>#N/A</v>
      </c>
      <c r="AT88" s="21" t="e">
        <f>IF(AT87&lt;='1.基本データ(このシートは削除しないこと！)'!H17,1,0)</f>
        <v>#N/A</v>
      </c>
      <c r="AU88" s="27" t="s">
        <v>218</v>
      </c>
    </row>
    <row r="89" spans="1:60" ht="24" customHeight="1" thickBot="1" x14ac:dyDescent="0.25">
      <c r="A89" s="45"/>
      <c r="B89" s="371" t="e">
        <f>IF(AND(K82&lt;&gt;"-",AS90=0),"※入札参加者の所在地が地域要件ごとの評価対象エリア外のため、「ボランティア活動」と「選択項目」は評価対象外です。","")</f>
        <v>#N/A</v>
      </c>
      <c r="C89" s="371"/>
      <c r="D89" s="371"/>
      <c r="E89" s="371"/>
      <c r="F89" s="371"/>
      <c r="G89" s="371"/>
      <c r="H89" s="371"/>
      <c r="I89" s="372"/>
      <c r="J89" s="372"/>
      <c r="K89" s="372"/>
      <c r="L89" s="372"/>
      <c r="M89" s="372"/>
      <c r="N89" s="372"/>
      <c r="O89" s="372"/>
      <c r="P89" s="372"/>
      <c r="Q89" s="372"/>
      <c r="R89" s="372"/>
      <c r="S89" s="371"/>
      <c r="T89" s="111"/>
      <c r="U89" s="111"/>
      <c r="V89" s="66"/>
      <c r="W89" s="117"/>
      <c r="X89" s="118"/>
      <c r="Y89" s="118"/>
      <c r="Z89" s="119"/>
      <c r="AD89" s="66"/>
      <c r="AE89" s="66"/>
      <c r="AF89" s="66"/>
      <c r="AG89" s="98"/>
      <c r="AJ89" s="66"/>
      <c r="AK89" s="66"/>
      <c r="AL89" s="66"/>
      <c r="AM89" s="66"/>
      <c r="AN89" s="66"/>
      <c r="AO89" s="66"/>
      <c r="AR89" s="492" t="s">
        <v>338</v>
      </c>
      <c r="AS89" s="27" t="s">
        <v>219</v>
      </c>
    </row>
    <row r="90" spans="1:60" ht="32.1" customHeight="1" thickBot="1" x14ac:dyDescent="0.25">
      <c r="A90" s="45"/>
      <c r="B90" s="345" t="s">
        <v>348</v>
      </c>
      <c r="C90" s="345"/>
      <c r="D90" s="345"/>
      <c r="E90" s="51" t="s">
        <v>170</v>
      </c>
      <c r="F90" s="52" t="s">
        <v>1</v>
      </c>
      <c r="G90" s="525" t="s">
        <v>345</v>
      </c>
      <c r="H90" s="526"/>
      <c r="I90" s="526"/>
      <c r="J90" s="526"/>
      <c r="K90" s="526"/>
      <c r="L90" s="526"/>
      <c r="M90" s="526"/>
      <c r="N90" s="526"/>
      <c r="O90" s="526"/>
      <c r="P90" s="526"/>
      <c r="Q90" s="527"/>
      <c r="R90" s="26" t="s">
        <v>231</v>
      </c>
      <c r="S90" s="120" t="s">
        <v>232</v>
      </c>
      <c r="T90" s="111"/>
      <c r="U90" s="111"/>
      <c r="V90" s="121" t="s">
        <v>162</v>
      </c>
      <c r="W90" s="121" t="s">
        <v>203</v>
      </c>
      <c r="X90" s="121" t="s">
        <v>220</v>
      </c>
      <c r="Y90" s="122" t="s">
        <v>156</v>
      </c>
      <c r="Z90" s="123" t="s">
        <v>158</v>
      </c>
      <c r="AA90" s="124" t="s">
        <v>157</v>
      </c>
      <c r="AB90" s="123" t="s">
        <v>159</v>
      </c>
      <c r="AC90" s="124" t="s">
        <v>160</v>
      </c>
      <c r="AD90" s="125" t="s">
        <v>161</v>
      </c>
      <c r="AE90" s="125" t="s">
        <v>204</v>
      </c>
      <c r="AF90" s="193" t="s">
        <v>285</v>
      </c>
      <c r="AG90" s="126" t="s">
        <v>163</v>
      </c>
      <c r="AH90" s="126" t="s">
        <v>164</v>
      </c>
      <c r="AI90" s="126" t="s">
        <v>205</v>
      </c>
      <c r="AK90" s="126" t="s">
        <v>166</v>
      </c>
      <c r="AL90" s="126" t="s">
        <v>167</v>
      </c>
      <c r="AM90" s="126" t="s">
        <v>205</v>
      </c>
      <c r="AN90" s="194" t="s">
        <v>281</v>
      </c>
      <c r="AO90" s="194" t="s">
        <v>284</v>
      </c>
      <c r="AP90" s="195" t="s">
        <v>283</v>
      </c>
      <c r="AQ90" s="173" t="s">
        <v>168</v>
      </c>
      <c r="AR90" s="492"/>
      <c r="AS90" s="21" t="e">
        <f>IF(AS86&lt;'1.基本データ(このシートは削除しないこと！)'!H17+1,1,0)</f>
        <v>#N/A</v>
      </c>
      <c r="AT90" s="27" t="s">
        <v>196</v>
      </c>
      <c r="AV90" s="66"/>
      <c r="AW90" s="66"/>
      <c r="AX90" s="66"/>
      <c r="AY90" s="66"/>
      <c r="AZ90" s="66"/>
      <c r="BA90" s="66"/>
      <c r="BB90" s="66"/>
    </row>
    <row r="91" spans="1:60" ht="34.950000000000003" customHeight="1" thickBot="1" x14ac:dyDescent="0.25">
      <c r="A91" s="45"/>
      <c r="B91" s="353" t="s">
        <v>191</v>
      </c>
      <c r="C91" s="349" t="s">
        <v>271</v>
      </c>
      <c r="D91" s="350"/>
      <c r="E91" s="127">
        <f>AG91</f>
        <v>0.5</v>
      </c>
      <c r="F91" s="180" t="e">
        <f>IF(OR($AS$90=0,V91=0),"-",AQ91)</f>
        <v>#N/A</v>
      </c>
      <c r="G91" s="495" t="s">
        <v>359</v>
      </c>
      <c r="H91" s="335"/>
      <c r="I91" s="335"/>
      <c r="J91" s="335"/>
      <c r="K91" s="335"/>
      <c r="L91" s="335"/>
      <c r="M91" s="335"/>
      <c r="N91" s="335"/>
      <c r="O91" s="335"/>
      <c r="P91" s="335"/>
      <c r="Q91" s="335"/>
      <c r="R91" s="204" t="s">
        <v>169</v>
      </c>
      <c r="S91" s="160" t="s">
        <v>169</v>
      </c>
      <c r="T91" s="111"/>
      <c r="U91" s="111"/>
      <c r="V91" s="57">
        <f t="shared" ref="V91:V96" si="4">IF(R91="有",1,0)</f>
        <v>0</v>
      </c>
      <c r="W91" s="112"/>
      <c r="X91" s="57">
        <f t="shared" ref="X91:X96" si="5">IF(S91="-",0,1)</f>
        <v>0</v>
      </c>
      <c r="Y91" s="128">
        <f>IF(OR(S91='1.基本データ(このシートは削除しないこと！)'!$D$19,'2.様式第1号、第11号-1(特別簡易型)'!S91='1.基本データ(このシートは削除しないこと！)'!$E$19),1,0)</f>
        <v>1</v>
      </c>
      <c r="Z91" s="129" t="str">
        <f>VLOOKUP(S91,リスト2!$C$3:$E$65,2,FALSE)</f>
        <v>-</v>
      </c>
      <c r="AA91" s="130">
        <f>IF(OR(Z91='1.基本データ(このシートは削除しないこと！)'!$D$20,Z91='1.基本データ(このシートは削除しないこと！)'!$E$20),1,0)</f>
        <v>1</v>
      </c>
      <c r="AB91" s="129" t="str">
        <f>VLOOKUP(S91,リスト2!$C$3:$E$65,3,FALSE)</f>
        <v>-</v>
      </c>
      <c r="AC91" s="130">
        <f>IF(OR(AB91='1.基本データ(このシートは削除しないこと！)'!$D$21,AB91='1.基本データ(このシートは削除しないこと！)'!$E$21),1,0)</f>
        <v>1</v>
      </c>
      <c r="AD91" s="131">
        <f>Y91+AA91+AC91</f>
        <v>3</v>
      </c>
      <c r="AE91" s="131">
        <f>IF(AND('1.基本データ(このシートは削除しないこと！)'!$D$17="全国",AB91&lt;&gt;"-"),4,0)</f>
        <v>0</v>
      </c>
      <c r="AF91" s="196" t="str">
        <f>VLOOKUP(S91,リスト2!$C$3:$F$65,4,FALSE)</f>
        <v>-</v>
      </c>
      <c r="AG91" s="132">
        <v>0.5</v>
      </c>
      <c r="AH91" s="132">
        <v>0.5</v>
      </c>
      <c r="AI91" s="132">
        <v>0.5</v>
      </c>
      <c r="AK91" s="133">
        <f>IF($V91*$X91*$AD91=3,AG91,0)</f>
        <v>0</v>
      </c>
      <c r="AL91" s="133">
        <f>IF($V91*X91*$AD91=2,AH91,0)</f>
        <v>0</v>
      </c>
      <c r="AM91" s="133">
        <f>IF(OR($V91*$X91*$AD91=1,$V91*$X91*$AE91=4),AI91,0)</f>
        <v>0</v>
      </c>
      <c r="AN91" s="62" t="e">
        <f>IF('1.基本データ(このシートは削除しないこと！)'!$H$17=2,MAX(AK91:AL91),0)</f>
        <v>#N/A</v>
      </c>
      <c r="AO91" s="62" t="e">
        <f>IF('1.基本データ(このシートは削除しないこと！)'!$H$17=3,MAX(AK91:AM91),0)</f>
        <v>#N/A</v>
      </c>
      <c r="AP91" s="197" t="e">
        <f>IF(AND('1.基本データ(このシートは削除しないこと！)'!$H$17=4,AF91="県内"),V91*AI91,0)</f>
        <v>#N/A</v>
      </c>
      <c r="AQ91" s="174" t="str">
        <f>IF(V91=1,MAX(AN91:AP91),"-")</f>
        <v>-</v>
      </c>
      <c r="AR91" s="212"/>
      <c r="AS91" s="66"/>
    </row>
    <row r="92" spans="1:60" ht="34.950000000000003" customHeight="1" thickBot="1" x14ac:dyDescent="0.25">
      <c r="A92" s="45"/>
      <c r="B92" s="353"/>
      <c r="C92" s="351" t="s">
        <v>270</v>
      </c>
      <c r="D92" s="352"/>
      <c r="E92" s="184">
        <f>AG92</f>
        <v>0.5</v>
      </c>
      <c r="F92" s="205" t="str">
        <f>IF(OR(V92=0),"-",AQ92)</f>
        <v>-</v>
      </c>
      <c r="G92" s="358" t="s">
        <v>360</v>
      </c>
      <c r="H92" s="359"/>
      <c r="I92" s="359"/>
      <c r="J92" s="359"/>
      <c r="K92" s="359"/>
      <c r="L92" s="359"/>
      <c r="M92" s="359"/>
      <c r="N92" s="359"/>
      <c r="O92" s="359"/>
      <c r="P92" s="359"/>
      <c r="Q92" s="359"/>
      <c r="R92" s="204" t="s">
        <v>169</v>
      </c>
      <c r="S92" s="160" t="s">
        <v>169</v>
      </c>
      <c r="T92" s="111"/>
      <c r="U92" s="111"/>
      <c r="V92" s="57">
        <f t="shared" si="4"/>
        <v>0</v>
      </c>
      <c r="W92" s="112"/>
      <c r="X92" s="57">
        <f>IF(S92="-",0,1)</f>
        <v>0</v>
      </c>
      <c r="Y92" s="128">
        <f>IF(OR(S92='1.基本データ(このシートは削除しないこと！)'!$D$19,'2.様式第1号、第11号-1(特別簡易型)'!S92='1.基本データ(このシートは削除しないこと！)'!$E$19),1,0)</f>
        <v>1</v>
      </c>
      <c r="Z92" s="129" t="str">
        <f>VLOOKUP(S92,リスト2!$C$3:$E$65,2,FALSE)</f>
        <v>-</v>
      </c>
      <c r="AA92" s="130">
        <f>IF(OR(Z92='1.基本データ(このシートは削除しないこと！)'!$D$20,Z92='1.基本データ(このシートは削除しないこと！)'!$E$20),1,0)</f>
        <v>1</v>
      </c>
      <c r="AB92" s="129" t="str">
        <f>VLOOKUP(S92,リスト2!$C$3:$E$65,3,FALSE)</f>
        <v>-</v>
      </c>
      <c r="AC92" s="130">
        <f>IF(OR(AB92='1.基本データ(このシートは削除しないこと！)'!$D$21,AB92='1.基本データ(このシートは削除しないこと！)'!$E$21),1,0)</f>
        <v>1</v>
      </c>
      <c r="AD92" s="131">
        <f>Y92+AA92+AC92</f>
        <v>3</v>
      </c>
      <c r="AE92" s="131">
        <f>IF(AND('1.基本データ(このシートは削除しないこと！)'!$D$17="全国",AB92&lt;&gt;"-"),4,0)</f>
        <v>0</v>
      </c>
      <c r="AF92" s="196" t="str">
        <f>VLOOKUP(S92,リスト2!$C$3:$F$65,4,FALSE)</f>
        <v>-</v>
      </c>
      <c r="AG92" s="132">
        <v>0.5</v>
      </c>
      <c r="AH92" s="132">
        <v>0.5</v>
      </c>
      <c r="AI92" s="132">
        <v>0.25</v>
      </c>
      <c r="AK92" s="133">
        <f>IF($V92*$X92*$AD92=3,AG92,0)</f>
        <v>0</v>
      </c>
      <c r="AL92" s="133">
        <f>IF($V92*X92*$AD92=2,AH92,0)</f>
        <v>0</v>
      </c>
      <c r="AM92" s="133">
        <f t="shared" ref="AM92:AM99" si="6">IF(OR($V92*$X92*$AD92=1,$V92*$X92*$AE92=4),AI92,0)</f>
        <v>0</v>
      </c>
      <c r="AN92" s="62" t="e">
        <f>IF('1.基本データ(このシートは削除しないこと！)'!$H$17=2,MAX(AK92:AM92),0)</f>
        <v>#N/A</v>
      </c>
      <c r="AO92" s="62" t="e">
        <f>IF('1.基本データ(このシートは削除しないこと！)'!$H$17=3,MAX(AK92:AM92),0)</f>
        <v>#N/A</v>
      </c>
      <c r="AP92" s="197" t="e">
        <f>IF(AND('1.基本データ(このシートは削除しないこと！)'!$H$17=4,AF92="県内"),V92*AG92,0)</f>
        <v>#N/A</v>
      </c>
      <c r="AQ92" s="174" t="str">
        <f>IF(V92=1,MAX(AN92:AP92),"-")</f>
        <v>-</v>
      </c>
      <c r="AR92" s="213"/>
      <c r="AS92" s="66"/>
    </row>
    <row r="93" spans="1:60" ht="72" customHeight="1" thickBot="1" x14ac:dyDescent="0.25">
      <c r="A93" s="45"/>
      <c r="B93" s="353"/>
      <c r="C93" s="395" t="s">
        <v>233</v>
      </c>
      <c r="D93" s="405" t="s">
        <v>399</v>
      </c>
      <c r="E93" s="412">
        <v>1.75</v>
      </c>
      <c r="F93" s="409" t="e">
        <f>IF(OR($AS$90=0,AQ93=0,SUM(V93:V95)=0),"-",AS94)</f>
        <v>#N/A</v>
      </c>
      <c r="G93" s="421" t="s">
        <v>400</v>
      </c>
      <c r="H93" s="419" t="s">
        <v>353</v>
      </c>
      <c r="I93" s="419"/>
      <c r="J93" s="419"/>
      <c r="K93" s="419"/>
      <c r="L93" s="419"/>
      <c r="M93" s="419"/>
      <c r="N93" s="419"/>
      <c r="O93" s="419"/>
      <c r="P93" s="419"/>
      <c r="Q93" s="420"/>
      <c r="R93" s="209" t="s">
        <v>169</v>
      </c>
      <c r="S93" s="385" t="s">
        <v>169</v>
      </c>
      <c r="T93" s="134"/>
      <c r="U93" s="134"/>
      <c r="V93" s="272">
        <f>IF(R93="有",1,0)</f>
        <v>0</v>
      </c>
      <c r="W93" s="393">
        <f>IF(SUM(V93:V95)&gt;0,1,0)</f>
        <v>0</v>
      </c>
      <c r="X93" s="272">
        <f>IF(S93="-",0,1)</f>
        <v>0</v>
      </c>
      <c r="Y93" s="252">
        <f>IF(OR(S93='1.基本データ(このシートは削除しないこと！)'!$D$19,'2.様式第1号、第11号-1(特別簡易型)'!S93='1.基本データ(このシートは削除しないこと！)'!$E$19),1,0)</f>
        <v>1</v>
      </c>
      <c r="Z93" s="253" t="str">
        <f>VLOOKUP(S93,リスト2!$C$3:$E$65,2,FALSE)</f>
        <v>-</v>
      </c>
      <c r="AA93" s="254">
        <f>IF(OR(Z93='1.基本データ(このシートは削除しないこと！)'!$D$20,Z93='1.基本データ(このシートは削除しないこと！)'!$E$20),1,0)</f>
        <v>1</v>
      </c>
      <c r="AB93" s="253" t="str">
        <f>VLOOKUP(S93,リスト2!$C$3:$E$65,3,FALSE)</f>
        <v>-</v>
      </c>
      <c r="AC93" s="254">
        <f>IF(OR(AB93='1.基本データ(このシートは削除しないこと！)'!$D$21,AB93='1.基本データ(このシートは削除しないこと！)'!$E$21),1,0)</f>
        <v>1</v>
      </c>
      <c r="AD93" s="255">
        <f t="shared" ref="AD93" si="7">Y93+AA93+AC93</f>
        <v>3</v>
      </c>
      <c r="AE93" s="240">
        <f>IF(AND('1.基本データ(このシートは削除しないこと！)'!$D$17="全国",AB93&lt;&gt;"-"),4,0)</f>
        <v>0</v>
      </c>
      <c r="AF93" s="196" t="str">
        <f>VLOOKUP(S93,リスト2!$C$3:$F$65,4,FALSE)</f>
        <v>-</v>
      </c>
      <c r="AG93" s="274">
        <v>1.5</v>
      </c>
      <c r="AH93" s="145">
        <v>1.5</v>
      </c>
      <c r="AI93" s="145">
        <v>1.5</v>
      </c>
      <c r="AK93" s="247">
        <f>IF($V93*X93*$AD93=3,AG93,0)</f>
        <v>0</v>
      </c>
      <c r="AL93" s="247">
        <f>IF($V93*X93*$AD93=2,AH93,0)</f>
        <v>0</v>
      </c>
      <c r="AM93" s="247">
        <f t="shared" si="6"/>
        <v>0</v>
      </c>
      <c r="AN93" s="198" t="e">
        <f>IF('1.基本データ(このシートは削除しないこと！)'!$H$17=2,MAX(AK93:AL93),0)</f>
        <v>#N/A</v>
      </c>
      <c r="AO93" s="198" t="e">
        <f>IF('1.基本データ(このシートは削除しないこと！)'!$H$17=3,MAX(AK93:AM93),0)</f>
        <v>#N/A</v>
      </c>
      <c r="AP93" s="199" t="e">
        <f>IF(AND('1.基本データ(このシートは削除しないこと！)'!$H$17=4,AF93="県内"),V93*AI93,0)</f>
        <v>#N/A</v>
      </c>
      <c r="AQ93" s="511" t="e">
        <f>IF(W93&lt;=2,MAX(AN93:AP95),"-")</f>
        <v>#N/A</v>
      </c>
      <c r="AR93" s="493" t="e">
        <f>AQ93+0.25</f>
        <v>#N/A</v>
      </c>
      <c r="AS93" s="66"/>
    </row>
    <row r="94" spans="1:60" ht="35.4" customHeight="1" thickBot="1" x14ac:dyDescent="0.25">
      <c r="A94" s="45"/>
      <c r="B94" s="353"/>
      <c r="C94" s="396"/>
      <c r="D94" s="406"/>
      <c r="E94" s="403"/>
      <c r="F94" s="410"/>
      <c r="G94" s="422"/>
      <c r="H94" s="383" t="s">
        <v>354</v>
      </c>
      <c r="I94" s="383"/>
      <c r="J94" s="383"/>
      <c r="K94" s="383"/>
      <c r="L94" s="383"/>
      <c r="M94" s="383"/>
      <c r="N94" s="383"/>
      <c r="O94" s="383"/>
      <c r="P94" s="383"/>
      <c r="Q94" s="384"/>
      <c r="R94" s="209" t="s">
        <v>169</v>
      </c>
      <c r="S94" s="386"/>
      <c r="T94" s="134"/>
      <c r="U94" s="134"/>
      <c r="V94" s="241">
        <f t="shared" si="4"/>
        <v>0</v>
      </c>
      <c r="W94" s="400"/>
      <c r="X94" s="241">
        <f>X93</f>
        <v>0</v>
      </c>
      <c r="Y94" s="241">
        <f t="shared" ref="Y94:AE94" si="8">Y93</f>
        <v>1</v>
      </c>
      <c r="Z94" s="284" t="str">
        <f t="shared" si="8"/>
        <v>-</v>
      </c>
      <c r="AA94" s="288">
        <f t="shared" si="8"/>
        <v>1</v>
      </c>
      <c r="AB94" s="289" t="str">
        <f t="shared" si="8"/>
        <v>-</v>
      </c>
      <c r="AC94" s="286">
        <f t="shared" si="8"/>
        <v>1</v>
      </c>
      <c r="AD94" s="241">
        <f t="shared" si="8"/>
        <v>3</v>
      </c>
      <c r="AE94" s="241">
        <f t="shared" si="8"/>
        <v>0</v>
      </c>
      <c r="AF94" s="196" t="str">
        <f>AF93</f>
        <v>-</v>
      </c>
      <c r="AG94" s="277">
        <v>1.25</v>
      </c>
      <c r="AH94" s="249">
        <v>1.25</v>
      </c>
      <c r="AI94" s="249">
        <v>1.25</v>
      </c>
      <c r="AK94" s="250">
        <f>IF($V94*X94*$AD94=3,AG94,0)</f>
        <v>0</v>
      </c>
      <c r="AL94" s="250">
        <f t="shared" ref="AL94:AL99" si="9">IF($V94*X94*$AD94=2,AH94,0)</f>
        <v>0</v>
      </c>
      <c r="AM94" s="250">
        <f t="shared" si="6"/>
        <v>0</v>
      </c>
      <c r="AN94" s="200" t="e">
        <f>IF('1.基本データ(このシートは削除しないこと！)'!$H$17=2,MAX(AK94:AL94),0)</f>
        <v>#N/A</v>
      </c>
      <c r="AO94" s="200" t="e">
        <f>IF('1.基本データ(このシートは削除しないこと！)'!$H$17=3,MAX(AK94:AM94),0)</f>
        <v>#N/A</v>
      </c>
      <c r="AP94" s="201" t="e">
        <f>IF(AND('1.基本データ(このシートは削除しないこと！)'!$H$17=4,AF94="県内"),V94*AI94,0)</f>
        <v>#N/A</v>
      </c>
      <c r="AQ94" s="512"/>
      <c r="AR94" s="493"/>
      <c r="AS94" s="217" t="str">
        <f>IF(AS95=1,MAX(AQ93:AR93),IF(AS95=2,MIN(AQ93:AR93),"-"))</f>
        <v>-</v>
      </c>
      <c r="BE94" s="208"/>
      <c r="BF94" s="208"/>
      <c r="BG94" s="208"/>
      <c r="BH94" s="208"/>
    </row>
    <row r="95" spans="1:60" ht="58.8" customHeight="1" thickBot="1" x14ac:dyDescent="0.25">
      <c r="A95" s="45"/>
      <c r="B95" s="353"/>
      <c r="C95" s="396"/>
      <c r="D95" s="407"/>
      <c r="E95" s="402"/>
      <c r="F95" s="411"/>
      <c r="G95" s="294" t="s">
        <v>169</v>
      </c>
      <c r="H95" s="408" t="s">
        <v>355</v>
      </c>
      <c r="I95" s="383"/>
      <c r="J95" s="383"/>
      <c r="K95" s="383"/>
      <c r="L95" s="383"/>
      <c r="M95" s="383"/>
      <c r="N95" s="383"/>
      <c r="O95" s="383"/>
      <c r="P95" s="383"/>
      <c r="Q95" s="384"/>
      <c r="R95" s="209" t="s">
        <v>169</v>
      </c>
      <c r="S95" s="387"/>
      <c r="T95" s="134"/>
      <c r="U95" s="134"/>
      <c r="V95" s="273">
        <f t="shared" si="4"/>
        <v>0</v>
      </c>
      <c r="W95" s="394"/>
      <c r="X95" s="273">
        <f>X93</f>
        <v>0</v>
      </c>
      <c r="Y95" s="273">
        <f t="shared" ref="Y95:AE95" si="10">Y93</f>
        <v>1</v>
      </c>
      <c r="Z95" s="285" t="str">
        <f t="shared" si="10"/>
        <v>-</v>
      </c>
      <c r="AA95" s="290">
        <f t="shared" si="10"/>
        <v>1</v>
      </c>
      <c r="AB95" s="291" t="str">
        <f t="shared" si="10"/>
        <v>-</v>
      </c>
      <c r="AC95" s="287">
        <f t="shared" si="10"/>
        <v>1</v>
      </c>
      <c r="AD95" s="273">
        <f t="shared" si="10"/>
        <v>3</v>
      </c>
      <c r="AE95" s="273">
        <f t="shared" si="10"/>
        <v>0</v>
      </c>
      <c r="AF95" s="196" t="str">
        <f>AF93</f>
        <v>-</v>
      </c>
      <c r="AG95" s="275">
        <v>0.75</v>
      </c>
      <c r="AH95" s="276">
        <v>0.75</v>
      </c>
      <c r="AI95" s="276">
        <v>0.75</v>
      </c>
      <c r="AK95" s="278">
        <f>IF($V95*X95*$AD95=3,AG95,0)</f>
        <v>0</v>
      </c>
      <c r="AL95" s="148">
        <f t="shared" si="9"/>
        <v>0</v>
      </c>
      <c r="AM95" s="148">
        <f t="shared" si="6"/>
        <v>0</v>
      </c>
      <c r="AN95" s="202" t="e">
        <f>IF('1.基本データ(このシートは削除しないこと！)'!$H$17=2,MAX(AK95:AL95),0)</f>
        <v>#N/A</v>
      </c>
      <c r="AO95" s="202" t="e">
        <f>IF('1.基本データ(このシートは削除しないこと！)'!$H$17=3,MAX(AK95:AM95),0)</f>
        <v>#N/A</v>
      </c>
      <c r="AP95" s="203" t="e">
        <f>IF(AND('1.基本データ(このシートは削除しないこと！)'!$H$17=4,AF95="県内"),V95*AI95,0)</f>
        <v>#N/A</v>
      </c>
      <c r="AQ95" s="528"/>
      <c r="AR95" s="494"/>
      <c r="AS95" s="214">
        <f>IF(G95=リスト!Q4,1,IF(G95=リスト!Q5,2,0))</f>
        <v>0</v>
      </c>
      <c r="AT95" s="57">
        <f>AS95</f>
        <v>0</v>
      </c>
      <c r="BE95" s="208"/>
      <c r="BF95" s="208"/>
      <c r="BG95" s="208"/>
      <c r="BH95" s="208"/>
    </row>
    <row r="96" spans="1:60" ht="79.95" customHeight="1" thickBot="1" x14ac:dyDescent="0.25">
      <c r="A96" s="45"/>
      <c r="B96" s="353"/>
      <c r="C96" s="396"/>
      <c r="D96" s="398" t="s">
        <v>269</v>
      </c>
      <c r="E96" s="401">
        <f>AG96</f>
        <v>1.25</v>
      </c>
      <c r="F96" s="354" t="e">
        <f>IF(OR($AS$90=0,V96+V97=0),"-",AQ96)</f>
        <v>#N/A</v>
      </c>
      <c r="G96" s="448" t="s">
        <v>356</v>
      </c>
      <c r="H96" s="444"/>
      <c r="I96" s="444"/>
      <c r="J96" s="444"/>
      <c r="K96" s="444"/>
      <c r="L96" s="444"/>
      <c r="M96" s="444"/>
      <c r="N96" s="444"/>
      <c r="O96" s="444"/>
      <c r="P96" s="444"/>
      <c r="Q96" s="444"/>
      <c r="R96" s="204" t="s">
        <v>169</v>
      </c>
      <c r="S96" s="385" t="s">
        <v>169</v>
      </c>
      <c r="T96" s="142"/>
      <c r="U96" s="142"/>
      <c r="V96" s="135">
        <f t="shared" si="4"/>
        <v>0</v>
      </c>
      <c r="W96" s="393">
        <f>IF(SUM(V96:V97)&gt;0,1,0)+W93</f>
        <v>0</v>
      </c>
      <c r="X96" s="143">
        <f t="shared" si="5"/>
        <v>0</v>
      </c>
      <c r="Y96" s="136">
        <f>IF(OR(S96='1.基本データ(このシートは削除しないこと！)'!$D$19,'2.様式第1号、第11号-1(特別簡易型)'!S96='1.基本データ(このシートは削除しないこと！)'!$E$19),1,0)</f>
        <v>1</v>
      </c>
      <c r="Z96" s="137" t="str">
        <f>VLOOKUP(S96,リスト2!$C$3:$E$65,2,FALSE)</f>
        <v>-</v>
      </c>
      <c r="AA96" s="138">
        <f>IF(OR(Z96='1.基本データ(このシートは削除しないこと！)'!$D$20,Z96='1.基本データ(このシートは削除しないこと！)'!$E$20),1,0)</f>
        <v>1</v>
      </c>
      <c r="AB96" s="137" t="str">
        <f>VLOOKUP(S96,リスト2!$C$3:$E$65,3,FALSE)</f>
        <v>-</v>
      </c>
      <c r="AC96" s="138">
        <f>IF(OR(AB96='1.基本データ(このシートは削除しないこと！)'!$D$21,AB96='1.基本データ(このシートは削除しないこと！)'!$E$21),1,0)</f>
        <v>1</v>
      </c>
      <c r="AD96" s="139">
        <f>Y96+AA96+AC96</f>
        <v>3</v>
      </c>
      <c r="AE96" s="144">
        <f>IF(AND('1.基本データ(このシートは削除しないこと！)'!$D$17="全国",AB96&lt;&gt;"-"),4,0)</f>
        <v>0</v>
      </c>
      <c r="AF96" s="196" t="str">
        <f>VLOOKUP(S96,リスト2!$C$3:$F$65,4,FALSE)</f>
        <v>-</v>
      </c>
      <c r="AG96" s="145">
        <v>1.25</v>
      </c>
      <c r="AH96" s="140">
        <v>1.25</v>
      </c>
      <c r="AI96" s="145">
        <v>1.25</v>
      </c>
      <c r="AK96" s="141">
        <f>IF($V96*$X96*$AD96=3,AG96,0)</f>
        <v>0</v>
      </c>
      <c r="AL96" s="247">
        <f t="shared" si="9"/>
        <v>0</v>
      </c>
      <c r="AM96" s="247">
        <f t="shared" si="6"/>
        <v>0</v>
      </c>
      <c r="AN96" s="198" t="e">
        <f>IF('1.基本データ(このシートは削除しないこと！)'!$H$17=2,MAX(AK96:AL96),0)</f>
        <v>#N/A</v>
      </c>
      <c r="AO96" s="198" t="e">
        <f>IF('1.基本データ(このシートは削除しないこと！)'!$H$17=3,MAX(AK96:AM96),0)</f>
        <v>#N/A</v>
      </c>
      <c r="AP96" s="199" t="e">
        <f>IF(AND('1.基本データ(このシートは削除しないこと！)'!$H$17=4,AF96="県内"),V96*AI96,0)</f>
        <v>#N/A</v>
      </c>
      <c r="AQ96" s="175" t="e">
        <f>IF(W96&lt;=2,MAX(AN96:AP97),"-")</f>
        <v>#N/A</v>
      </c>
      <c r="BE96" s="211"/>
      <c r="BF96" s="211"/>
      <c r="BG96" s="211"/>
      <c r="BH96" s="211"/>
    </row>
    <row r="97" spans="1:46" ht="34.950000000000003" customHeight="1" thickBot="1" x14ac:dyDescent="0.25">
      <c r="A97" s="45"/>
      <c r="B97" s="353"/>
      <c r="C97" s="396"/>
      <c r="D97" s="399"/>
      <c r="E97" s="402"/>
      <c r="F97" s="355"/>
      <c r="G97" s="326" t="s">
        <v>361</v>
      </c>
      <c r="H97" s="524"/>
      <c r="I97" s="524"/>
      <c r="J97" s="524"/>
      <c r="K97" s="524"/>
      <c r="L97" s="524"/>
      <c r="M97" s="524"/>
      <c r="N97" s="524"/>
      <c r="O97" s="524"/>
      <c r="P97" s="524"/>
      <c r="Q97" s="524"/>
      <c r="R97" s="204" t="s">
        <v>169</v>
      </c>
      <c r="S97" s="387"/>
      <c r="T97" s="134"/>
      <c r="U97" s="134"/>
      <c r="V97" s="79">
        <f t="shared" ref="V97:V102" si="11">IF(R97="有",1,0)</f>
        <v>0</v>
      </c>
      <c r="W97" s="394"/>
      <c r="X97" s="183">
        <f>X96</f>
        <v>0</v>
      </c>
      <c r="Y97" s="279">
        <f t="shared" ref="Y97:AE97" si="12">Y96</f>
        <v>1</v>
      </c>
      <c r="Z97" s="283" t="str">
        <f t="shared" si="12"/>
        <v>-</v>
      </c>
      <c r="AA97" s="281">
        <f t="shared" si="12"/>
        <v>1</v>
      </c>
      <c r="AB97" s="282" t="str">
        <f t="shared" si="12"/>
        <v>-</v>
      </c>
      <c r="AC97" s="280">
        <f t="shared" si="12"/>
        <v>1</v>
      </c>
      <c r="AD97" s="279">
        <f t="shared" si="12"/>
        <v>3</v>
      </c>
      <c r="AE97" s="279">
        <f t="shared" si="12"/>
        <v>0</v>
      </c>
      <c r="AF97" s="196" t="str">
        <f>AF96</f>
        <v>-</v>
      </c>
      <c r="AG97" s="147">
        <v>0.75</v>
      </c>
      <c r="AH97" s="147">
        <v>0.75</v>
      </c>
      <c r="AI97" s="147">
        <v>0.75</v>
      </c>
      <c r="AK97" s="148">
        <f>IF($V97*$X97*$AD97=3,AG97,0)</f>
        <v>0</v>
      </c>
      <c r="AL97" s="251">
        <f t="shared" si="9"/>
        <v>0</v>
      </c>
      <c r="AM97" s="251">
        <f t="shared" si="6"/>
        <v>0</v>
      </c>
      <c r="AN97" s="202" t="e">
        <f>IF('1.基本データ(このシートは削除しないこと！)'!$H$17=2,MAX(AK97:AL97),0)</f>
        <v>#N/A</v>
      </c>
      <c r="AO97" s="202" t="e">
        <f>IF('1.基本データ(このシートは削除しないこと！)'!$H$17=3,MAX(AK97:AM97),0)</f>
        <v>#N/A</v>
      </c>
      <c r="AP97" s="203" t="e">
        <f>IF(AND('1.基本データ(このシートは削除しないこと！)'!$H$17=4,AF97="県内"),V97*AI97,0)</f>
        <v>#N/A</v>
      </c>
      <c r="AQ97" s="176"/>
    </row>
    <row r="98" spans="1:46" ht="34.950000000000003" customHeight="1" thickBot="1" x14ac:dyDescent="0.25">
      <c r="A98" s="45"/>
      <c r="B98" s="353"/>
      <c r="C98" s="396"/>
      <c r="D98" s="398" t="s">
        <v>230</v>
      </c>
      <c r="E98" s="401">
        <f>AG98</f>
        <v>1.25</v>
      </c>
      <c r="F98" s="354" t="e">
        <f>IF(OR($AS$90=0,V98+V99=0),"-",AQ98)</f>
        <v>#N/A</v>
      </c>
      <c r="G98" s="326" t="s">
        <v>362</v>
      </c>
      <c r="H98" s="524"/>
      <c r="I98" s="524"/>
      <c r="J98" s="524"/>
      <c r="K98" s="524"/>
      <c r="L98" s="524"/>
      <c r="M98" s="524"/>
      <c r="N98" s="524"/>
      <c r="O98" s="524"/>
      <c r="P98" s="524"/>
      <c r="Q98" s="524"/>
      <c r="R98" s="204" t="s">
        <v>169</v>
      </c>
      <c r="S98" s="385" t="s">
        <v>169</v>
      </c>
      <c r="T98" s="134"/>
      <c r="U98" s="134"/>
      <c r="V98" s="135">
        <f>IF(R98="有",1,0)</f>
        <v>0</v>
      </c>
      <c r="W98" s="393">
        <f>IF(SUM(V98:V99)&gt;0,1,0)+W96</f>
        <v>0</v>
      </c>
      <c r="X98" s="143">
        <f>IF(S98="-",0,1)</f>
        <v>0</v>
      </c>
      <c r="Y98" s="136">
        <f>IF(OR(S98='1.基本データ(このシートは削除しないこと！)'!$D$19,'2.様式第1号、第11号-1(特別簡易型)'!S98='1.基本データ(このシートは削除しないこと！)'!$E$19),1,0)</f>
        <v>1</v>
      </c>
      <c r="Z98" s="137" t="str">
        <f>VLOOKUP(S98,リスト2!$C$3:$E$65,2,FALSE)</f>
        <v>-</v>
      </c>
      <c r="AA98" s="138">
        <f>IF(OR(Z98='1.基本データ(このシートは削除しないこと！)'!$D$20,Z98='1.基本データ(このシートは削除しないこと！)'!$E$20),1,0)</f>
        <v>1</v>
      </c>
      <c r="AB98" s="137" t="str">
        <f>VLOOKUP(S98,リスト2!$C$3:$E$65,3,FALSE)</f>
        <v>-</v>
      </c>
      <c r="AC98" s="138">
        <f>IF(OR(AB98='1.基本データ(このシートは削除しないこと！)'!$D$21,AB98='1.基本データ(このシートは削除しないこと！)'!$E$21),1,0)</f>
        <v>1</v>
      </c>
      <c r="AD98" s="139">
        <f t="shared" ref="AD98:AD100" si="13">Y98+AA98+AC98</f>
        <v>3</v>
      </c>
      <c r="AE98" s="144">
        <f>IF(AND('1.基本データ(このシートは削除しないこと！)'!$D$17="全国",AB98&lt;&gt;"-"),4,0)</f>
        <v>0</v>
      </c>
      <c r="AF98" s="196" t="str">
        <f>VLOOKUP(S98,リスト2!$C$3:$F$65,4,FALSE)</f>
        <v>-</v>
      </c>
      <c r="AG98" s="145">
        <v>1.25</v>
      </c>
      <c r="AH98" s="145">
        <v>1.25</v>
      </c>
      <c r="AI98" s="145">
        <v>1.25</v>
      </c>
      <c r="AK98" s="141">
        <f>IF($V98*X98*$AD98=3,AG98,0)</f>
        <v>0</v>
      </c>
      <c r="AL98" s="141">
        <f t="shared" si="9"/>
        <v>0</v>
      </c>
      <c r="AM98" s="141">
        <f t="shared" si="6"/>
        <v>0</v>
      </c>
      <c r="AN98" s="198" t="e">
        <f>IF('1.基本データ(このシートは削除しないこと！)'!$H$17=2,MAX(AK98:AL98),0)</f>
        <v>#N/A</v>
      </c>
      <c r="AO98" s="198" t="e">
        <f>IF('1.基本データ(このシートは削除しないこと！)'!$H$17=3,MAX(AK98:AM98),0)</f>
        <v>#N/A</v>
      </c>
      <c r="AP98" s="199" t="e">
        <f>IF(AND('1.基本データ(このシートは削除しないこと！)'!$H$17=4,AF98="県内"),V98*AI98,0)</f>
        <v>#N/A</v>
      </c>
      <c r="AQ98" s="175" t="e">
        <f>IF(W98&lt;=2,MAX(AN98:AP99),"-")</f>
        <v>#N/A</v>
      </c>
    </row>
    <row r="99" spans="1:46" ht="34.950000000000003" customHeight="1" thickBot="1" x14ac:dyDescent="0.25">
      <c r="A99" s="45"/>
      <c r="B99" s="353"/>
      <c r="C99" s="396"/>
      <c r="D99" s="399"/>
      <c r="E99" s="402"/>
      <c r="F99" s="355"/>
      <c r="G99" s="326" t="s">
        <v>363</v>
      </c>
      <c r="H99" s="524"/>
      <c r="I99" s="524"/>
      <c r="J99" s="524"/>
      <c r="K99" s="524"/>
      <c r="L99" s="524"/>
      <c r="M99" s="524"/>
      <c r="N99" s="524"/>
      <c r="O99" s="524"/>
      <c r="P99" s="524"/>
      <c r="Q99" s="524"/>
      <c r="R99" s="204" t="s">
        <v>169</v>
      </c>
      <c r="S99" s="387"/>
      <c r="T99" s="149"/>
      <c r="U99" s="149"/>
      <c r="V99" s="79">
        <f>IF(R99="有",1,0)</f>
        <v>0</v>
      </c>
      <c r="W99" s="394"/>
      <c r="X99" s="183">
        <f>X98</f>
        <v>0</v>
      </c>
      <c r="Y99" s="279">
        <f t="shared" ref="Y99:AE99" si="14">Y98</f>
        <v>1</v>
      </c>
      <c r="Z99" s="283" t="str">
        <f t="shared" si="14"/>
        <v>-</v>
      </c>
      <c r="AA99" s="281">
        <f t="shared" si="14"/>
        <v>1</v>
      </c>
      <c r="AB99" s="282" t="str">
        <f t="shared" si="14"/>
        <v>-</v>
      </c>
      <c r="AC99" s="280">
        <f>AC98</f>
        <v>1</v>
      </c>
      <c r="AD99" s="279">
        <f t="shared" si="14"/>
        <v>3</v>
      </c>
      <c r="AE99" s="279">
        <f t="shared" si="14"/>
        <v>0</v>
      </c>
      <c r="AF99" s="196" t="str">
        <f>AF98</f>
        <v>-</v>
      </c>
      <c r="AG99" s="147">
        <v>0.75</v>
      </c>
      <c r="AH99" s="147">
        <v>0.75</v>
      </c>
      <c r="AI99" s="147">
        <v>0.75</v>
      </c>
      <c r="AK99" s="148">
        <f>IF($V99*X99*$AD99=3,AG99,0)</f>
        <v>0</v>
      </c>
      <c r="AL99" s="148">
        <f t="shared" si="9"/>
        <v>0</v>
      </c>
      <c r="AM99" s="148">
        <f t="shared" si="6"/>
        <v>0</v>
      </c>
      <c r="AN99" s="202" t="e">
        <f>IF('1.基本データ(このシートは削除しないこと！)'!$H$17=2,MAX(AK99:AL99),0)</f>
        <v>#N/A</v>
      </c>
      <c r="AO99" s="202" t="e">
        <f>IF('1.基本データ(このシートは削除しないこと！)'!$H$17=3,MAX(AK99:AM99),0)</f>
        <v>#N/A</v>
      </c>
      <c r="AP99" s="203" t="e">
        <f>IF(AND('1.基本データ(このシートは削除しないこと！)'!$H$17=4,AF99="県内"),V99*AI99,0)</f>
        <v>#N/A</v>
      </c>
      <c r="AQ99" s="176"/>
    </row>
    <row r="100" spans="1:46" ht="79.95" customHeight="1" thickBot="1" x14ac:dyDescent="0.25">
      <c r="A100" s="45"/>
      <c r="B100" s="353"/>
      <c r="C100" s="396"/>
      <c r="D100" s="415" t="s">
        <v>401</v>
      </c>
      <c r="E100" s="401">
        <v>1.75</v>
      </c>
      <c r="F100" s="356" t="e">
        <f>IF(OR('1.基本データ(このシートは削除しないこと！)'!H16=10,$AS$90=0,AQ100=0,SUM(V100:V102)=0),"-",AS101)</f>
        <v>#N/A</v>
      </c>
      <c r="G100" s="422" t="s">
        <v>392</v>
      </c>
      <c r="H100" s="383" t="s">
        <v>386</v>
      </c>
      <c r="I100" s="384"/>
      <c r="J100" s="384"/>
      <c r="K100" s="384"/>
      <c r="L100" s="384"/>
      <c r="M100" s="384"/>
      <c r="N100" s="384"/>
      <c r="O100" s="384"/>
      <c r="P100" s="384"/>
      <c r="Q100" s="418"/>
      <c r="R100" s="204" t="s">
        <v>169</v>
      </c>
      <c r="S100" s="385" t="s">
        <v>169</v>
      </c>
      <c r="T100" s="134"/>
      <c r="U100" s="134"/>
      <c r="V100" s="135">
        <f>IF(R100="有",1,0)</f>
        <v>0</v>
      </c>
      <c r="W100" s="393">
        <f>IF(SUM(V100:V102)&gt;0,1,0)+W98</f>
        <v>0</v>
      </c>
      <c r="X100" s="220">
        <f>IF(S100="-",0,1)</f>
        <v>0</v>
      </c>
      <c r="Y100" s="252">
        <f>IF(OR(S100='1.基本データ(このシートは削除しないこと！)'!$D$19,'2.様式第1号、第11号-1(特別簡易型)'!S100='1.基本データ(このシートは削除しないこと！)'!$E$19),1,0)</f>
        <v>1</v>
      </c>
      <c r="Z100" s="253" t="str">
        <f>VLOOKUP(S100,リスト2!$C$3:$E$65,2,FALSE)</f>
        <v>-</v>
      </c>
      <c r="AA100" s="254">
        <f>IF(OR(Z100='1.基本データ(このシートは削除しないこと！)'!$D$20,Z100='1.基本データ(このシートは削除しないこと！)'!$E$20),1,0)</f>
        <v>1</v>
      </c>
      <c r="AB100" s="253" t="str">
        <f>VLOOKUP(S100,リスト2!$C$3:$E$65,3,FALSE)</f>
        <v>-</v>
      </c>
      <c r="AC100" s="254">
        <f>IF(OR(AB100='1.基本データ(このシートは削除しないこと！)'!$D$21,AB100='1.基本データ(このシートは削除しないこと！)'!$E$21),1,0)</f>
        <v>1</v>
      </c>
      <c r="AD100" s="255">
        <f t="shared" si="13"/>
        <v>3</v>
      </c>
      <c r="AE100" s="255">
        <f>IF(AND('1.基本データ(このシートは削除しないこと！)'!$D$17="全国",AB100&lt;&gt;"-"),4,0)</f>
        <v>0</v>
      </c>
      <c r="AF100" s="196" t="str">
        <f>VLOOKUP(S100,リスト2!$C$3:$F$65,4,FALSE)</f>
        <v>-</v>
      </c>
      <c r="AG100" s="145">
        <f>IF('1.基本データ(このシートは削除しないこと！)'!H16=1,1.5,0)</f>
        <v>1.5</v>
      </c>
      <c r="AH100" s="145">
        <f>IF('1.基本データ(このシートは削除しないこと！)'!H16=1,1.5,0)</f>
        <v>1.5</v>
      </c>
      <c r="AI100" s="145">
        <f>IF('1.基本データ(このシートは削除しないこと！)'!H16=1,1.5,0)</f>
        <v>1.5</v>
      </c>
      <c r="AK100" s="247">
        <f>IF($V100*X100*$AD100=3,AG100,0)</f>
        <v>0</v>
      </c>
      <c r="AL100" s="247">
        <f>IF($V100*X100*$AD100=2,AH100,0)</f>
        <v>0</v>
      </c>
      <c r="AM100" s="247">
        <f>IF(OR($V100*$X100*$AD100=1,$V100*$X100*$AE100=4),AI100,0)</f>
        <v>0</v>
      </c>
      <c r="AN100" s="198" t="e">
        <f>IF('1.基本データ(このシートは削除しないこと！)'!$H$17=2,MAX(AK100:AL100),0)</f>
        <v>#N/A</v>
      </c>
      <c r="AO100" s="198" t="e">
        <f>IF('1.基本データ(このシートは削除しないこと！)'!$H$17=3,MAX(AK100:AM100),0)</f>
        <v>#N/A</v>
      </c>
      <c r="AP100" s="199" t="e">
        <f>IF(AND('1.基本データ(このシートは削除しないこと！)'!$H$17=4,AF100="県内"),V100*AI100,0)</f>
        <v>#N/A</v>
      </c>
      <c r="AQ100" s="511" t="e">
        <f>IF(W100&lt;=2,MAX(AN100:AP102),"-")</f>
        <v>#N/A</v>
      </c>
      <c r="AR100" s="514" t="e">
        <f>AQ100+0.25</f>
        <v>#N/A</v>
      </c>
    </row>
    <row r="101" spans="1:46" ht="60" customHeight="1" thickBot="1" x14ac:dyDescent="0.25">
      <c r="A101" s="45"/>
      <c r="B101" s="353"/>
      <c r="C101" s="396"/>
      <c r="D101" s="416"/>
      <c r="E101" s="403"/>
      <c r="F101" s="354"/>
      <c r="G101" s="423"/>
      <c r="H101" s="383" t="s">
        <v>385</v>
      </c>
      <c r="I101" s="384"/>
      <c r="J101" s="384"/>
      <c r="K101" s="384"/>
      <c r="L101" s="384"/>
      <c r="M101" s="384"/>
      <c r="N101" s="384"/>
      <c r="O101" s="384"/>
      <c r="P101" s="384"/>
      <c r="Q101" s="418"/>
      <c r="R101" s="219" t="s">
        <v>169</v>
      </c>
      <c r="S101" s="386"/>
      <c r="T101" s="134"/>
      <c r="U101" s="134"/>
      <c r="V101" s="241">
        <f>IF(R101="有",1,0)</f>
        <v>0</v>
      </c>
      <c r="W101" s="400"/>
      <c r="X101" s="242">
        <f>X100</f>
        <v>0</v>
      </c>
      <c r="Y101" s="243">
        <f t="shared" ref="Y101:AF101" si="15">Y100</f>
        <v>1</v>
      </c>
      <c r="Z101" s="244" t="str">
        <f t="shared" si="15"/>
        <v>-</v>
      </c>
      <c r="AA101" s="245">
        <f t="shared" si="15"/>
        <v>1</v>
      </c>
      <c r="AB101" s="244" t="str">
        <f t="shared" si="15"/>
        <v>-</v>
      </c>
      <c r="AC101" s="245">
        <f t="shared" si="15"/>
        <v>1</v>
      </c>
      <c r="AD101" s="246">
        <f t="shared" si="15"/>
        <v>3</v>
      </c>
      <c r="AE101" s="246">
        <f t="shared" si="15"/>
        <v>0</v>
      </c>
      <c r="AF101" s="196" t="str">
        <f t="shared" si="15"/>
        <v>-</v>
      </c>
      <c r="AG101" s="249">
        <v>1</v>
      </c>
      <c r="AH101" s="249">
        <v>1</v>
      </c>
      <c r="AI101" s="249">
        <v>1</v>
      </c>
      <c r="AK101" s="250">
        <f>IF($V101*X101*$AD101=3,AG101,0)</f>
        <v>0</v>
      </c>
      <c r="AL101" s="250">
        <f>IF($V101*X101*$AD101=2,AH101,0)</f>
        <v>0</v>
      </c>
      <c r="AM101" s="250">
        <f>IF(OR($V101*$X101*$AD101=1,$V101*$X101*$AE101=4),AI101,0)</f>
        <v>0</v>
      </c>
      <c r="AN101" s="200" t="e">
        <f>IF('1.基本データ(このシートは削除しないこと！)'!$H$17=2,MAX(AK101:AL101),0)</f>
        <v>#N/A</v>
      </c>
      <c r="AO101" s="200" t="e">
        <f>IF('1.基本データ(このシートは削除しないこと！)'!$H$17=3,MAX(AK101:AM101),0)</f>
        <v>#N/A</v>
      </c>
      <c r="AP101" s="201" t="e">
        <f>IF(AND('1.基本データ(このシートは削除しないこと！)'!$H$17=4,AF101="県内"),V101*AI101,0)</f>
        <v>#N/A</v>
      </c>
      <c r="AQ101" s="512"/>
      <c r="AR101" s="515"/>
      <c r="AS101" s="21" t="str">
        <f>IF(AS102=1,MAX(AQ100:AR100),IF(AS102=2,MIN(AQ100:AR100),"-"))</f>
        <v>-</v>
      </c>
    </row>
    <row r="102" spans="1:46" ht="60" customHeight="1" thickBot="1" x14ac:dyDescent="0.25">
      <c r="A102" s="45"/>
      <c r="B102" s="353"/>
      <c r="C102" s="397"/>
      <c r="D102" s="417"/>
      <c r="E102" s="404"/>
      <c r="F102" s="357"/>
      <c r="G102" s="295" t="s">
        <v>169</v>
      </c>
      <c r="H102" s="413" t="s">
        <v>364</v>
      </c>
      <c r="I102" s="414"/>
      <c r="J102" s="414"/>
      <c r="K102" s="414"/>
      <c r="L102" s="414"/>
      <c r="M102" s="414"/>
      <c r="N102" s="414"/>
      <c r="O102" s="414"/>
      <c r="P102" s="414"/>
      <c r="Q102" s="414"/>
      <c r="R102" s="204" t="s">
        <v>169</v>
      </c>
      <c r="S102" s="387"/>
      <c r="T102" s="134"/>
      <c r="U102" s="134"/>
      <c r="V102" s="79">
        <f t="shared" si="11"/>
        <v>0</v>
      </c>
      <c r="W102" s="394"/>
      <c r="X102" s="183">
        <f>X100</f>
        <v>0</v>
      </c>
      <c r="Y102" s="146">
        <f>Y100</f>
        <v>1</v>
      </c>
      <c r="Z102" s="129" t="str">
        <f>Z100</f>
        <v>-</v>
      </c>
      <c r="AA102" s="130">
        <f>AA100</f>
        <v>1</v>
      </c>
      <c r="AB102" s="129" t="str">
        <f t="shared" ref="AB102:AE102" si="16">AB100</f>
        <v>-</v>
      </c>
      <c r="AC102" s="130">
        <f t="shared" si="16"/>
        <v>1</v>
      </c>
      <c r="AD102" s="131">
        <f t="shared" si="16"/>
        <v>3</v>
      </c>
      <c r="AE102" s="131">
        <f t="shared" si="16"/>
        <v>0</v>
      </c>
      <c r="AF102" s="196" t="str">
        <f>AF100</f>
        <v>-</v>
      </c>
      <c r="AG102" s="248">
        <v>0.75</v>
      </c>
      <c r="AH102" s="248">
        <v>0.75</v>
      </c>
      <c r="AI102" s="248">
        <v>0.75</v>
      </c>
      <c r="AK102" s="148">
        <f>IF($V102*X102*$AD102=3,AG102,0)</f>
        <v>0</v>
      </c>
      <c r="AL102" s="148">
        <f>IF($V102*X102*$AD102=2,AH102,0)</f>
        <v>0</v>
      </c>
      <c r="AM102" s="148">
        <f>IF(OR($V102*$X102*$AD102=1,$V102*$X102*$AE102=4),AI102,0)</f>
        <v>0</v>
      </c>
      <c r="AN102" s="256" t="e">
        <f>IF('1.基本データ(このシートは削除しないこと！)'!$H$17=2,MAX(AK102:AL102),0)</f>
        <v>#N/A</v>
      </c>
      <c r="AO102" s="256" t="e">
        <f>IF('1.基本データ(このシートは削除しないこと！)'!$H$17=3,MAX(AK102:AM102),0)</f>
        <v>#N/A</v>
      </c>
      <c r="AP102" s="257" t="e">
        <f>IF(AND('1.基本データ(このシートは削除しないこと！)'!$H$17=4,AF102="県内"),V102*AI102,0)</f>
        <v>#N/A</v>
      </c>
      <c r="AQ102" s="513"/>
      <c r="AR102" s="516"/>
      <c r="AS102" s="214">
        <f>IF(G102=リスト!Q4,1,IF(G102=リスト!Q5,2,0))</f>
        <v>0</v>
      </c>
      <c r="AT102" s="57">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q6WW1LLk2V0Nz8tNCQfyt7xV+/jexcDIq+TKNgL+KTUMV4xnY4JmzJ9aKSy+V6T2ZnWfSZNepKMqap5a/fqmEQ==" saltValue="rVCPe9w47FMIRFgBtxX6+g==" spinCount="100000" sheet="1" objects="1" scenarios="1"/>
  <mergeCells count="174">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G51:S51"/>
    <mergeCell ref="G56:H56"/>
    <mergeCell ref="G55:H55"/>
    <mergeCell ref="G57:S57"/>
    <mergeCell ref="G60:Q60"/>
    <mergeCell ref="G58:Q58"/>
    <mergeCell ref="S52:S54"/>
    <mergeCell ref="I52:Q52"/>
    <mergeCell ref="I53:Q53"/>
    <mergeCell ref="M54:O54"/>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S67:S69"/>
    <mergeCell ref="F63:F66"/>
    <mergeCell ref="L55:M55"/>
    <mergeCell ref="O55:P55"/>
    <mergeCell ref="E55:E57"/>
    <mergeCell ref="F55:F57"/>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S98:S99"/>
    <mergeCell ref="G87:I87"/>
    <mergeCell ref="G88:J88"/>
    <mergeCell ref="I83:J83"/>
    <mergeCell ref="R64:R66"/>
    <mergeCell ref="R68:R69"/>
    <mergeCell ref="L67:M67"/>
    <mergeCell ref="O67:P67"/>
    <mergeCell ref="I64:L64"/>
    <mergeCell ref="N64:Q64"/>
    <mergeCell ref="B73:S73"/>
    <mergeCell ref="B78:D78"/>
    <mergeCell ref="B72:S72"/>
    <mergeCell ref="B76:D76"/>
    <mergeCell ref="E76:R76"/>
    <mergeCell ref="K66:L66"/>
    <mergeCell ref="K83:Q83"/>
    <mergeCell ref="K85:Q85"/>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s>
  <phoneticPr fontId="35"/>
  <conditionalFormatting sqref="E91:F91 E98 E100:G100 E93:G93 F102 E96:F96 F92 E101:F101 R91:R102">
    <cfRule type="expression" dxfId="16" priority="143">
      <formula>#REF!=0</formula>
    </cfRule>
  </conditionalFormatting>
  <conditionalFormatting sqref="F100:G100 F101:F102">
    <cfRule type="expression" dxfId="15" priority="156">
      <formula>#REF!=2</formula>
    </cfRule>
  </conditionalFormatting>
  <conditionalFormatting sqref="F93:G93 F100:G100 F96 F101:F102 R91:R102">
    <cfRule type="expression" dxfId="14" priority="161">
      <formula>#REF!&gt;2</formula>
    </cfRule>
  </conditionalFormatting>
  <conditionalFormatting sqref="K86 H93:H95 G91 G96:G99">
    <cfRule type="expression" dxfId="13" priority="90">
      <formula>#REF!=0</formula>
    </cfRule>
  </conditionalFormatting>
  <conditionalFormatting sqref="K83">
    <cfRule type="expression" dxfId="12" priority="96">
      <formula>#REF!=0</formula>
    </cfRule>
  </conditionalFormatting>
  <conditionalFormatting sqref="K83 H93:H95 G96:G99">
    <cfRule type="expression" dxfId="11" priority="97">
      <formula>#REF!&gt;2</formula>
    </cfRule>
  </conditionalFormatting>
  <conditionalFormatting sqref="F98">
    <cfRule type="expression" dxfId="10" priority="84">
      <formula>#REF!=0</formula>
    </cfRule>
  </conditionalFormatting>
  <conditionalFormatting sqref="F98">
    <cfRule type="expression" dxfId="9" priority="85">
      <formula>#REF!&gt;2</formula>
    </cfRule>
  </conditionalFormatting>
  <conditionalFormatting sqref="K86">
    <cfRule type="expression" dxfId="8" priority="91">
      <formula>#REF!&gt;2</formula>
    </cfRule>
  </conditionalFormatting>
  <conditionalFormatting sqref="BE94">
    <cfRule type="expression" dxfId="7" priority="9">
      <formula>#REF!=0</formula>
    </cfRule>
  </conditionalFormatting>
  <conditionalFormatting sqref="BE94">
    <cfRule type="expression" dxfId="6" priority="10">
      <formula>#REF!&gt;2</formula>
    </cfRule>
  </conditionalFormatting>
  <conditionalFormatting sqref="H102:P102">
    <cfRule type="expression" dxfId="5" priority="6">
      <formula>#REF!=0</formula>
    </cfRule>
  </conditionalFormatting>
  <conditionalFormatting sqref="H102:P102">
    <cfRule type="expression" dxfId="4" priority="7">
      <formula>#REF!=2</formula>
    </cfRule>
  </conditionalFormatting>
  <conditionalFormatting sqref="H102:P102">
    <cfRule type="expression" dxfId="3" priority="8">
      <formula>#REF!&gt;2</formula>
    </cfRule>
  </conditionalFormatting>
  <conditionalFormatting sqref="H100:P101">
    <cfRule type="expression" dxfId="2" priority="3">
      <formula>#REF!=0</formula>
    </cfRule>
  </conditionalFormatting>
  <conditionalFormatting sqref="H100:P101">
    <cfRule type="expression" dxfId="1" priority="4">
      <formula>#REF!=2</formula>
    </cfRule>
  </conditionalFormatting>
  <conditionalFormatting sqref="H100:P101">
    <cfRule type="expression" dxfId="0" priority="5">
      <formula>#REF!&gt;2</formula>
    </cfRule>
  </conditionalFormatting>
  <dataValidations count="7">
    <dataValidation imeMode="halfAlpha" allowBlank="1" showInputMessage="1" showErrorMessage="1" sqref="P54"/>
    <dataValidation type="whole" imeMode="halfAlpha" allowBlank="1" showInputMessage="1" showErrorMessage="1" errorTitle="無効な入力" error="２桁で入力してください" prompt="2桁を入力してください" sqref="J55 J67">
      <formula1>10</formula1>
      <formula2>24</formula2>
    </dataValidation>
    <dataValidation imeMode="disabled" allowBlank="1" showInputMessage="1" showErrorMessage="1" sqref="P66 I54:J54 I66:J66 N64:Q65 I64:L65 I68:L69 N68:Q69"/>
    <dataValidation type="textLength" imeMode="disabled" operator="equal" allowBlank="1" showInputMessage="1" showErrorMessage="1" errorTitle="無効な入力" error="5桁で入力してください" prompt="5桁を入力してください" sqref="L55:M55 L67:M67">
      <formula1>5</formula1>
    </dataValidation>
    <dataValidation type="textLength" imeMode="disabled" operator="equal" allowBlank="1" showInputMessage="1" showErrorMessage="1" errorTitle="無効な入力" error="4桁で入力してください" prompt="4桁を入力してください" sqref="O55:P55 O67:P67">
      <formula1>4</formula1>
    </dataValidation>
    <dataValidation imeMode="disabled" allowBlank="1" showInputMessage="1" showErrorMessage="1" prompt="直近の工事成績が対象　手引き要確認" sqref="I56:O56"/>
    <dataValidation allowBlank="1" showInputMessage="1" showErrorMessage="1" prompt="若手・女性技術者の「氏名」を入力" sqref="K79:Q79"/>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リスト!$M$4:$M$5</xm:f>
          </x14:formula1>
          <xm:sqref>S58:S61 R91:R99 R101:R102</xm:sqref>
        </x14:dataValidation>
        <x14:dataValidation type="list" allowBlank="1" showInputMessage="1" showErrorMessage="1">
          <x14:formula1>
            <xm:f>リスト2!$C$3:$C$64</xm:f>
          </x14:formula1>
          <xm:sqref>K82 K85 S91:S93 S96 S98 S100:S102</xm:sqref>
        </x14:dataValidation>
        <x14:dataValidation type="list" allowBlank="1" showInputMessage="1" showErrorMessage="1" prompt="同一発注種別の工事成績が対象">
          <x14:formula1>
            <xm:f>リスト!$H$4:$H$22</xm:f>
          </x14:formula1>
          <xm:sqref>S55</xm:sqref>
        </x14:dataValidation>
        <x14:dataValidation type="list" allowBlank="1" showInputMessage="1" showErrorMessage="1">
          <x14:formula1>
            <xm:f>リスト!$N$5:$N$7</xm:f>
          </x14:formula1>
          <xm:sqref>K86</xm:sqref>
        </x14:dataValidation>
        <x14:dataValidation type="list" allowBlank="1" showInputMessage="1" showErrorMessage="1">
          <x14:formula1>
            <xm:f>リスト!$N$4:$N$7</xm:f>
          </x14:formula1>
          <xm:sqref>K83</xm:sqref>
        </x14:dataValidation>
        <x14:dataValidation type="list" allowBlank="1" showInputMessage="1" showErrorMessage="1">
          <x14:formula1>
            <xm:f>リスト!$K$9:$K$12</xm:f>
          </x14:formula1>
          <xm:sqref>K80</xm:sqref>
        </x14:dataValidation>
        <x14:dataValidation type="list" allowBlank="1" showInputMessage="1" showErrorMessage="1">
          <x14:formula1>
            <xm:f>リスト!$E$4:$E$6</xm:f>
          </x14:formula1>
          <xm:sqref>I53:Q53</xm:sqref>
        </x14:dataValidation>
        <x14:dataValidation type="list" allowBlank="1" showInputMessage="1" showErrorMessage="1">
          <x14:formula1>
            <xm:f>リスト!$F$4:$F$7</xm:f>
          </x14:formula1>
          <xm:sqref>S56</xm:sqref>
        </x14:dataValidation>
        <x14:dataValidation type="list" allowBlank="1" showInputMessage="1" showErrorMessage="1" prompt="選択">
          <x14:formula1>
            <xm:f>リスト!$O$4:$O$6</xm:f>
          </x14:formula1>
          <xm:sqref>R79:S79</xm:sqref>
        </x14:dataValidation>
        <x14:dataValidation type="list" allowBlank="1" showInputMessage="1" showErrorMessage="1">
          <x14:formula1>
            <xm:f>リスト!$Q$4:$Q$6</xm:f>
          </x14:formula1>
          <xm:sqref>G95 G102</xm:sqref>
        </x14:dataValidation>
        <x14:dataValidation type="list" allowBlank="1" showInputMessage="1" showErrorMessage="1" prompt="一般土木工事及び舗装工事の場合">
          <x14:formula1>
            <xm:f>リスト!$M$4:$M$5</xm:f>
          </x14:formula1>
          <xm:sqref>R100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2"/>
  <sheetViews>
    <sheetView topLeftCell="L1" workbookViewId="0">
      <selection activeCell="O11" sqref="O11"/>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138</v>
      </c>
      <c r="H3" s="2" t="s">
        <v>121</v>
      </c>
      <c r="I3" s="2" t="s">
        <v>16</v>
      </c>
      <c r="K3" s="3" t="s">
        <v>17</v>
      </c>
      <c r="L3" s="2" t="s">
        <v>18</v>
      </c>
      <c r="M3" s="2" t="s">
        <v>19</v>
      </c>
      <c r="N3" s="2" t="s">
        <v>224</v>
      </c>
      <c r="O3" s="2" t="s">
        <v>262</v>
      </c>
      <c r="Q3" s="210" t="s">
        <v>337</v>
      </c>
    </row>
    <row r="4" spans="1:17" x14ac:dyDescent="0.2">
      <c r="A4" s="2" t="s">
        <v>38</v>
      </c>
      <c r="B4" s="2" t="s">
        <v>34</v>
      </c>
      <c r="E4" s="2" t="s">
        <v>20</v>
      </c>
      <c r="F4" s="2" t="s">
        <v>305</v>
      </c>
      <c r="G4" s="2" t="s">
        <v>135</v>
      </c>
      <c r="H4" s="2" t="s">
        <v>339</v>
      </c>
      <c r="I4" s="2" t="s">
        <v>171</v>
      </c>
      <c r="K4" s="2" t="s">
        <v>197</v>
      </c>
      <c r="L4" s="2" t="s">
        <v>23</v>
      </c>
      <c r="M4" s="2" t="s">
        <v>24</v>
      </c>
      <c r="N4" s="2" t="s">
        <v>225</v>
      </c>
      <c r="O4" s="2" t="s">
        <v>332</v>
      </c>
      <c r="Q4" s="210" t="s">
        <v>335</v>
      </c>
    </row>
    <row r="5" spans="1:17" x14ac:dyDescent="0.2">
      <c r="A5" s="2" t="s">
        <v>37</v>
      </c>
      <c r="B5" s="2" t="s">
        <v>35</v>
      </c>
      <c r="E5" s="2" t="s">
        <v>26</v>
      </c>
      <c r="F5" s="2" t="s">
        <v>304</v>
      </c>
      <c r="G5" s="2" t="s">
        <v>339</v>
      </c>
      <c r="H5" s="2" t="s">
        <v>122</v>
      </c>
      <c r="I5" s="2" t="s">
        <v>3</v>
      </c>
      <c r="K5" s="2" t="s">
        <v>339</v>
      </c>
      <c r="L5" s="2" t="s">
        <v>28</v>
      </c>
      <c r="M5" s="2" t="s">
        <v>339</v>
      </c>
      <c r="N5" s="2" t="s">
        <v>25</v>
      </c>
      <c r="O5" s="2" t="s">
        <v>333</v>
      </c>
      <c r="Q5" s="2" t="s">
        <v>336</v>
      </c>
    </row>
    <row r="6" spans="1:17" x14ac:dyDescent="0.2">
      <c r="A6" s="2" t="s">
        <v>303</v>
      </c>
      <c r="B6" s="2" t="s">
        <v>4</v>
      </c>
      <c r="E6" s="2" t="s">
        <v>29</v>
      </c>
      <c r="F6" s="2" t="s">
        <v>136</v>
      </c>
      <c r="H6" s="2" t="s">
        <v>123</v>
      </c>
      <c r="I6" s="2" t="s">
        <v>339</v>
      </c>
      <c r="L6" s="2" t="s">
        <v>339</v>
      </c>
      <c r="N6" s="2" t="s">
        <v>3</v>
      </c>
      <c r="O6" s="2" t="s">
        <v>339</v>
      </c>
      <c r="Q6" s="2" t="s">
        <v>339</v>
      </c>
    </row>
    <row r="7" spans="1:17" x14ac:dyDescent="0.2">
      <c r="B7" s="2" t="s">
        <v>36</v>
      </c>
      <c r="E7" s="2" t="s">
        <v>339</v>
      </c>
      <c r="F7" s="2" t="s">
        <v>339</v>
      </c>
      <c r="H7" s="2" t="s">
        <v>175</v>
      </c>
      <c r="N7" s="2" t="s">
        <v>339</v>
      </c>
    </row>
    <row r="8" spans="1:17" x14ac:dyDescent="0.2">
      <c r="H8" s="2" t="s">
        <v>176</v>
      </c>
    </row>
    <row r="9" spans="1:17" x14ac:dyDescent="0.2">
      <c r="H9" s="2" t="s">
        <v>177</v>
      </c>
      <c r="K9" s="2" t="s">
        <v>198</v>
      </c>
    </row>
    <row r="10" spans="1:17" x14ac:dyDescent="0.2">
      <c r="H10" s="2" t="s">
        <v>178</v>
      </c>
      <c r="K10" s="2" t="s">
        <v>199</v>
      </c>
    </row>
    <row r="11" spans="1:17" x14ac:dyDescent="0.2">
      <c r="H11" s="2" t="s">
        <v>179</v>
      </c>
      <c r="K11" s="2" t="s">
        <v>201</v>
      </c>
    </row>
    <row r="12" spans="1:17" x14ac:dyDescent="0.2">
      <c r="H12" s="2" t="s">
        <v>180</v>
      </c>
      <c r="K12" s="2" t="s">
        <v>339</v>
      </c>
    </row>
    <row r="13" spans="1:17" x14ac:dyDescent="0.2">
      <c r="H13" s="2" t="s">
        <v>181</v>
      </c>
    </row>
    <row r="14" spans="1:17" x14ac:dyDescent="0.2">
      <c r="H14" s="2" t="s">
        <v>182</v>
      </c>
    </row>
    <row r="15" spans="1:17" x14ac:dyDescent="0.2">
      <c r="H15" s="2" t="s">
        <v>183</v>
      </c>
    </row>
    <row r="16" spans="1:17" x14ac:dyDescent="0.2">
      <c r="H16" s="2" t="s">
        <v>184</v>
      </c>
    </row>
    <row r="17" spans="8:8" x14ac:dyDescent="0.2">
      <c r="H17" s="2" t="s">
        <v>185</v>
      </c>
    </row>
    <row r="18" spans="8:8" x14ac:dyDescent="0.2">
      <c r="H18" s="2" t="s">
        <v>186</v>
      </c>
    </row>
    <row r="19" spans="8:8" x14ac:dyDescent="0.2">
      <c r="H19" s="2" t="s">
        <v>187</v>
      </c>
    </row>
    <row r="20" spans="8:8" x14ac:dyDescent="0.2">
      <c r="H20" s="2" t="s">
        <v>188</v>
      </c>
    </row>
    <row r="21" spans="8:8" x14ac:dyDescent="0.2">
      <c r="H21" s="2" t="s">
        <v>189</v>
      </c>
    </row>
    <row r="22" spans="8:8" x14ac:dyDescent="0.2">
      <c r="H22" s="2" t="s">
        <v>190</v>
      </c>
    </row>
  </sheetData>
  <sheetProtection password="F45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5"/>
  <sheetViews>
    <sheetView view="pageBreakPreview" zoomScaleNormal="100" zoomScaleSheetLayoutView="100" workbookViewId="0">
      <selection activeCell="E74" sqref="E74"/>
    </sheetView>
  </sheetViews>
  <sheetFormatPr defaultRowHeight="13.2" x14ac:dyDescent="0.2"/>
  <cols>
    <col min="3" max="3" width="29.21875" customWidth="1"/>
    <col min="4" max="4" width="21" customWidth="1"/>
    <col min="5" max="5" width="23.109375" customWidth="1"/>
  </cols>
  <sheetData>
    <row r="2" spans="2:9" ht="39" customHeight="1" x14ac:dyDescent="0.2">
      <c r="B2" s="4" t="s">
        <v>143</v>
      </c>
      <c r="C2" s="4" t="s">
        <v>118</v>
      </c>
      <c r="D2" s="5" t="s">
        <v>142</v>
      </c>
      <c r="E2" s="4" t="s">
        <v>119</v>
      </c>
      <c r="F2" s="150" t="s">
        <v>286</v>
      </c>
      <c r="G2" s="4" t="s">
        <v>33</v>
      </c>
      <c r="H2" s="1" t="s">
        <v>193</v>
      </c>
      <c r="I2" s="1"/>
    </row>
    <row r="3" spans="2:9" x14ac:dyDescent="0.2">
      <c r="B3" s="6">
        <v>1</v>
      </c>
      <c r="C3" s="6" t="s">
        <v>61</v>
      </c>
      <c r="D3" s="6" t="s">
        <v>40</v>
      </c>
      <c r="E3" s="6" t="s">
        <v>56</v>
      </c>
      <c r="F3" s="1" t="s">
        <v>4</v>
      </c>
      <c r="G3" s="6" t="s">
        <v>34</v>
      </c>
      <c r="H3" s="1" t="s">
        <v>146</v>
      </c>
      <c r="I3" s="1">
        <v>2</v>
      </c>
    </row>
    <row r="4" spans="2:9" x14ac:dyDescent="0.2">
      <c r="B4" s="6">
        <v>2</v>
      </c>
      <c r="C4" s="6" t="s">
        <v>62</v>
      </c>
      <c r="D4" s="6" t="s">
        <v>40</v>
      </c>
      <c r="E4" s="6" t="s">
        <v>56</v>
      </c>
      <c r="F4" s="1" t="s">
        <v>4</v>
      </c>
      <c r="G4" s="6" t="s">
        <v>35</v>
      </c>
      <c r="H4" s="1" t="s">
        <v>147</v>
      </c>
      <c r="I4" s="1">
        <v>3</v>
      </c>
    </row>
    <row r="5" spans="2:9" x14ac:dyDescent="0.2">
      <c r="B5" s="6">
        <v>3</v>
      </c>
      <c r="C5" s="6" t="s">
        <v>63</v>
      </c>
      <c r="D5" s="6" t="s">
        <v>41</v>
      </c>
      <c r="E5" s="6" t="s">
        <v>56</v>
      </c>
      <c r="F5" s="1" t="s">
        <v>4</v>
      </c>
      <c r="G5" s="6" t="s">
        <v>4</v>
      </c>
      <c r="H5" s="1" t="s">
        <v>147</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339</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7" t="s">
        <v>57</v>
      </c>
      <c r="F23" s="1" t="s">
        <v>4</v>
      </c>
    </row>
    <row r="24" spans="2:6" x14ac:dyDescent="0.2">
      <c r="B24" s="6">
        <v>22</v>
      </c>
      <c r="C24" s="6" t="s">
        <v>82</v>
      </c>
      <c r="D24" s="6" t="s">
        <v>47</v>
      </c>
      <c r="E24" s="7" t="s">
        <v>57</v>
      </c>
      <c r="F24" s="1" t="s">
        <v>4</v>
      </c>
    </row>
    <row r="25" spans="2:6" x14ac:dyDescent="0.2">
      <c r="B25" s="6">
        <v>23</v>
      </c>
      <c r="C25" s="6" t="s">
        <v>83</v>
      </c>
      <c r="D25" s="6" t="s">
        <v>47</v>
      </c>
      <c r="E25" s="7" t="s">
        <v>57</v>
      </c>
      <c r="F25" s="1" t="s">
        <v>4</v>
      </c>
    </row>
    <row r="26" spans="2:6" x14ac:dyDescent="0.2">
      <c r="B26" s="6">
        <v>24</v>
      </c>
      <c r="C26" s="6" t="s">
        <v>84</v>
      </c>
      <c r="D26" s="6" t="s">
        <v>47</v>
      </c>
      <c r="E26" s="7" t="s">
        <v>57</v>
      </c>
      <c r="F26" s="1" t="s">
        <v>4</v>
      </c>
    </row>
    <row r="27" spans="2:6" x14ac:dyDescent="0.2">
      <c r="B27" s="6">
        <v>25</v>
      </c>
      <c r="C27" s="6" t="s">
        <v>85</v>
      </c>
      <c r="D27" s="6" t="s">
        <v>47</v>
      </c>
      <c r="E27" s="7" t="s">
        <v>57</v>
      </c>
      <c r="F27" s="1" t="s">
        <v>4</v>
      </c>
    </row>
    <row r="28" spans="2:6" x14ac:dyDescent="0.2">
      <c r="B28" s="6">
        <v>26</v>
      </c>
      <c r="C28" s="6" t="s">
        <v>86</v>
      </c>
      <c r="D28" s="6" t="s">
        <v>49</v>
      </c>
      <c r="E28" s="7" t="s">
        <v>57</v>
      </c>
      <c r="F28" s="1" t="s">
        <v>4</v>
      </c>
    </row>
    <row r="29" spans="2:6" x14ac:dyDescent="0.2">
      <c r="B29" s="6">
        <v>27</v>
      </c>
      <c r="C29" s="6" t="s">
        <v>87</v>
      </c>
      <c r="D29" s="6" t="s">
        <v>49</v>
      </c>
      <c r="E29" s="7" t="s">
        <v>57</v>
      </c>
      <c r="F29" s="1" t="s">
        <v>4</v>
      </c>
    </row>
    <row r="30" spans="2:6" x14ac:dyDescent="0.2">
      <c r="B30" s="6">
        <v>28</v>
      </c>
      <c r="C30" s="6" t="s">
        <v>88</v>
      </c>
      <c r="D30" s="6" t="s">
        <v>49</v>
      </c>
      <c r="E30" s="7" t="s">
        <v>57</v>
      </c>
      <c r="F30" s="1" t="s">
        <v>4</v>
      </c>
    </row>
    <row r="31" spans="2:6" x14ac:dyDescent="0.2">
      <c r="B31" s="6">
        <v>29</v>
      </c>
      <c r="C31" s="6" t="s">
        <v>89</v>
      </c>
      <c r="D31" s="6" t="s">
        <v>49</v>
      </c>
      <c r="E31" s="7" t="s">
        <v>57</v>
      </c>
      <c r="F31" s="1" t="s">
        <v>4</v>
      </c>
    </row>
    <row r="32" spans="2:6" x14ac:dyDescent="0.2">
      <c r="B32" s="6">
        <v>30</v>
      </c>
      <c r="C32" s="6" t="s">
        <v>90</v>
      </c>
      <c r="D32" s="6" t="s">
        <v>50</v>
      </c>
      <c r="E32" s="7" t="s">
        <v>58</v>
      </c>
      <c r="F32" s="1" t="s">
        <v>4</v>
      </c>
    </row>
    <row r="33" spans="2:6" x14ac:dyDescent="0.2">
      <c r="B33" s="6">
        <v>31</v>
      </c>
      <c r="C33" s="6" t="s">
        <v>91</v>
      </c>
      <c r="D33" s="6" t="s">
        <v>50</v>
      </c>
      <c r="E33" s="7" t="s">
        <v>58</v>
      </c>
      <c r="F33" s="1" t="s">
        <v>4</v>
      </c>
    </row>
    <row r="34" spans="2:6" x14ac:dyDescent="0.2">
      <c r="B34" s="6">
        <v>32</v>
      </c>
      <c r="C34" s="6" t="s">
        <v>92</v>
      </c>
      <c r="D34" s="6" t="s">
        <v>50</v>
      </c>
      <c r="E34" s="7" t="s">
        <v>58</v>
      </c>
      <c r="F34" s="1" t="s">
        <v>4</v>
      </c>
    </row>
    <row r="35" spans="2:6" x14ac:dyDescent="0.2">
      <c r="B35" s="6">
        <v>33</v>
      </c>
      <c r="C35" s="6" t="s">
        <v>93</v>
      </c>
      <c r="D35" s="6" t="s">
        <v>50</v>
      </c>
      <c r="E35" s="7" t="s">
        <v>58</v>
      </c>
      <c r="F35" s="1" t="s">
        <v>4</v>
      </c>
    </row>
    <row r="36" spans="2:6" x14ac:dyDescent="0.2">
      <c r="B36" s="6">
        <v>34</v>
      </c>
      <c r="C36" s="6" t="s">
        <v>94</v>
      </c>
      <c r="D36" s="6" t="s">
        <v>51</v>
      </c>
      <c r="E36" s="7" t="s">
        <v>58</v>
      </c>
      <c r="F36" s="1" t="s">
        <v>4</v>
      </c>
    </row>
    <row r="37" spans="2:6" x14ac:dyDescent="0.2">
      <c r="B37" s="6">
        <v>35</v>
      </c>
      <c r="C37" s="6" t="s">
        <v>95</v>
      </c>
      <c r="D37" s="6" t="s">
        <v>51</v>
      </c>
      <c r="E37" s="7" t="s">
        <v>58</v>
      </c>
      <c r="F37" s="1" t="s">
        <v>4</v>
      </c>
    </row>
    <row r="38" spans="2:6" x14ac:dyDescent="0.2">
      <c r="B38" s="6">
        <v>36</v>
      </c>
      <c r="C38" s="6" t="s">
        <v>96</v>
      </c>
      <c r="D38" s="6" t="s">
        <v>51</v>
      </c>
      <c r="E38" s="7" t="s">
        <v>58</v>
      </c>
      <c r="F38" s="1" t="s">
        <v>4</v>
      </c>
    </row>
    <row r="39" spans="2:6" x14ac:dyDescent="0.2">
      <c r="B39" s="6">
        <v>37</v>
      </c>
      <c r="C39" s="6" t="s">
        <v>97</v>
      </c>
      <c r="D39" s="6" t="s">
        <v>51</v>
      </c>
      <c r="E39" s="7"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200</v>
      </c>
      <c r="D64" s="1" t="s">
        <v>200</v>
      </c>
      <c r="E64" s="1" t="s">
        <v>339</v>
      </c>
      <c r="F64" s="1" t="s">
        <v>340</v>
      </c>
    </row>
    <row r="65" spans="2:6" x14ac:dyDescent="0.2">
      <c r="B65" s="1"/>
      <c r="C65" s="1" t="s">
        <v>144</v>
      </c>
      <c r="D65" s="1" t="s">
        <v>144</v>
      </c>
      <c r="E65" s="1" t="s">
        <v>144</v>
      </c>
      <c r="F65" s="1" t="s">
        <v>144</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渡邉 枝里</dc:creator>
  <cp:lastModifiedBy>渡邉 枝里</cp:lastModifiedBy>
  <cp:lastPrinted>2024-03-23T10:45:39Z</cp:lastPrinted>
  <dcterms:created xsi:type="dcterms:W3CDTF">2018-06-11T09:00:18Z</dcterms:created>
  <dcterms:modified xsi:type="dcterms:W3CDTF">2024-07-05T05:35:46Z</dcterms:modified>
</cp:coreProperties>
</file>